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8_{08C474C5-BCF4-47F7-8A00-5574F3C627B6}" xr6:coauthVersionLast="47" xr6:coauthVersionMax="47" xr10:uidLastSave="{00000000-0000-0000-0000-000000000000}"/>
  <bookViews>
    <workbookView xWindow="-120" yWindow="-120" windowWidth="21840" windowHeight="13140" tabRatio="888" firstSheet="1" activeTab="6"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84" i="2"/>
  <c r="C102" i="16"/>
  <c r="C71" i="16"/>
  <c r="C57" i="16"/>
  <c r="C51" i="16"/>
  <c r="C47" i="16"/>
  <c r="C41" i="16"/>
  <c r="C38" i="16"/>
  <c r="C31" i="16"/>
  <c r="C25" i="16"/>
  <c r="C21" i="16"/>
  <c r="C17" i="16"/>
  <c r="C13" i="16"/>
  <c r="C7" i="16"/>
  <c r="C86" i="16"/>
  <c r="C85" i="16"/>
  <c r="C84" i="16"/>
  <c r="C78" i="16"/>
  <c r="C77" i="16"/>
  <c r="C111" i="16"/>
  <c r="C110" i="16"/>
  <c r="C120" i="16"/>
  <c r="C118" i="16"/>
  <c r="C116" i="16"/>
  <c r="C78" i="2"/>
  <c r="C77" i="2"/>
  <c r="C57" i="2"/>
  <c r="C51" i="2"/>
  <c r="C47" i="2"/>
  <c r="C41" i="2"/>
  <c r="C38" i="2"/>
  <c r="C31" i="2"/>
  <c r="C25" i="2"/>
  <c r="C21" i="2"/>
  <c r="C17" i="2"/>
  <c r="C13" i="2"/>
  <c r="C7" i="2"/>
  <c r="C102" i="2"/>
  <c r="C71" i="2"/>
  <c r="C168" i="2"/>
  <c r="C120" i="2"/>
  <c r="C118" i="2"/>
  <c r="C116" i="2"/>
  <c r="C111" i="2"/>
  <c r="C110" i="2"/>
  <c r="C86" i="2"/>
  <c r="C85"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<sst xmlns="http://schemas.openxmlformats.org/spreadsheetml/2006/main" count="1403" uniqueCount="760">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</sst>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F&#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9000000</v>
          </cell>
          <cell r="D6">
            <v>8000000</v>
          </cell>
          <cell r="G6">
            <v>0</v>
          </cell>
          <cell r="H6">
            <v>0</v>
          </cell>
        </row>
        <row r="9">
          <cell r="C9">
            <v>3000000</v>
          </cell>
          <cell r="D9">
            <v>3000000</v>
          </cell>
          <cell r="G9">
            <v>8245320</v>
          </cell>
          <cell r="H9">
            <v>66666</v>
          </cell>
        </row>
        <row r="10">
          <cell r="C10">
            <v>2162000</v>
          </cell>
          <cell r="D10">
            <v>2162000</v>
          </cell>
          <cell r="G10">
            <v>0</v>
          </cell>
          <cell r="H10">
            <v>8178654</v>
          </cell>
        </row>
        <row r="11">
          <cell r="G11">
            <v>4000000</v>
          </cell>
          <cell r="H11">
            <v>4000000</v>
          </cell>
        </row>
        <row r="12">
          <cell r="G12">
            <v>1000000</v>
          </cell>
          <cell r="H12">
            <v>1000000</v>
          </cell>
        </row>
        <row r="13">
          <cell r="C13">
            <v>1000000</v>
          </cell>
          <cell r="D13">
            <v>1000000</v>
          </cell>
        </row>
        <row r="14">
          <cell r="C14">
            <v>777777</v>
          </cell>
          <cell r="D14">
            <v>777777</v>
          </cell>
        </row>
        <row r="15">
          <cell r="G15">
            <v>3000000</v>
          </cell>
          <cell r="H15">
            <v>3000000</v>
          </cell>
        </row>
        <row r="17">
          <cell r="C17">
            <v>0</v>
          </cell>
          <cell r="D17">
            <v>0</v>
          </cell>
        </row>
        <row r="20">
          <cell r="C20">
            <v>700000</v>
          </cell>
          <cell r="D20">
            <v>700000</v>
          </cell>
        </row>
        <row r="23">
          <cell r="C23">
            <v>0</v>
          </cell>
          <cell r="D23">
            <v>0</v>
          </cell>
        </row>
        <row r="24">
          <cell r="G24"/>
          <cell r="H24">
            <v>0</v>
          </cell>
        </row>
        <row r="25">
          <cell r="C25">
            <v>2000000</v>
          </cell>
          <cell r="D25">
            <v>2000000</v>
          </cell>
        </row>
        <row r="26">
          <cell r="C26">
            <v>8228009</v>
          </cell>
          <cell r="D26">
            <v>2405543</v>
          </cell>
        </row>
        <row r="31">
          <cell r="C31">
            <v>0</v>
          </cell>
          <cell r="D31">
            <v>0</v>
          </cell>
          <cell r="G31">
            <v>2000000</v>
          </cell>
          <cell r="H31">
            <v>2000000</v>
          </cell>
        </row>
        <row r="32">
          <cell r="G32">
            <v>1000000</v>
          </cell>
          <cell r="H32">
            <v>1000000</v>
          </cell>
        </row>
        <row r="33">
          <cell r="G33">
            <v>0</v>
          </cell>
          <cell r="H33">
            <v>0</v>
          </cell>
        </row>
        <row r="34">
          <cell r="G34">
            <v>682246.60000000009</v>
          </cell>
          <cell r="H34">
            <v>0</v>
          </cell>
        </row>
        <row r="35">
          <cell r="G35">
            <v>6940219.4000000004</v>
          </cell>
          <cell r="H35">
            <v>800000</v>
          </cell>
        </row>
      </sheetData>
      <sheetData sheetId="1">
        <row r="5">
          <cell r="C5">
            <v>18000000</v>
          </cell>
          <cell r="D5">
            <v>6127655.8899999997</v>
          </cell>
        </row>
        <row r="6">
          <cell r="C6">
            <v>7000000</v>
          </cell>
          <cell r="D6">
            <v>4000000</v>
          </cell>
        </row>
        <row r="7">
          <cell r="C7">
            <v>300000</v>
          </cell>
          <cell r="D7">
            <v>688888.88999999966</v>
          </cell>
        </row>
        <row r="8">
          <cell r="C8">
            <v>300000</v>
          </cell>
          <cell r="D8">
            <v>100000</v>
          </cell>
        </row>
        <row r="9">
          <cell r="C9">
            <v>1550000</v>
          </cell>
          <cell r="D9">
            <v>250000</v>
          </cell>
        </row>
        <row r="10">
          <cell r="C10">
            <v>150000</v>
          </cell>
          <cell r="D10">
            <v>50000</v>
          </cell>
        </row>
        <row r="11">
          <cell r="C11">
            <v>0</v>
          </cell>
          <cell r="D11">
            <v>0</v>
          </cell>
        </row>
        <row r="13">
          <cell r="C13">
            <v>0</v>
          </cell>
          <cell r="D13">
            <v>0</v>
          </cell>
        </row>
        <row r="16">
          <cell r="C16">
            <v>66666</v>
          </cell>
          <cell r="D16">
            <v>33333</v>
          </cell>
        </row>
        <row r="17">
          <cell r="C17">
            <v>44200</v>
          </cell>
          <cell r="D17">
            <v>22100</v>
          </cell>
        </row>
        <row r="20">
          <cell r="C20">
            <v>1900000</v>
          </cell>
          <cell r="D20">
            <v>250000</v>
          </cell>
        </row>
        <row r="27">
          <cell r="F27">
            <v>682246.60000000009</v>
          </cell>
          <cell r="G27">
            <v>0</v>
          </cell>
        </row>
        <row r="28">
          <cell r="F28">
            <v>0</v>
          </cell>
          <cell r="G28">
            <v>200000</v>
          </cell>
        </row>
        <row r="32">
          <cell r="F32">
            <v>200000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9000000</v>
      </c>
      <c r="D6" s="214">
        <f>'TB-上期'!AC7</f>
        <v>8000000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3000000</v>
      </c>
      <c r="D12" s="214">
        <f>'TB-上期'!AC15</f>
        <v>3000000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2162000</v>
      </c>
      <c r="D14" s="214">
        <f>'TB-上期'!AC17</f>
        <v>2162000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1000000</v>
      </c>
      <c r="D18" s="214">
        <f>'TB-上期'!AC23</f>
        <v>1000000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777777</v>
      </c>
      <c r="D20" s="214">
        <f>'TB-上期'!AC27</f>
        <v>777777</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15939777</v>
      </c>
      <c r="D25" s="217">
        <f>IF(SUM(D6:D24)=0,"",SUM(D6:D24))</f>
        <v>14939777</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700000</v>
      </c>
      <c r="D32" s="214">
        <f>'TB-上期'!AC41</f>
        <v>700000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2000000</v>
      </c>
      <c r="D35" s="214">
        <f>'TB-上期'!AC50</f>
        <v>2000000</v>
      </c>
      <c r="E35" s="86"/>
      <c r="F35" s="87"/>
    </row>
    <row r="36" spans="1:6" s="12" customFormat="1" ht="18" customHeight="1">
      <c r="A36" s="213" t="s">
        <v>240</v>
      </c>
      <c r="B36" s="10"/>
      <c r="C36" s="42">
        <f>'TB-本期'!AC53</f>
        <v>8228009</v>
      </c>
      <c r="D36" s="214">
        <f>'TB-上期'!AC53</f>
        <v>2405543</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10928009</v>
      </c>
      <c r="D46" s="218">
        <f>IF(SUM(D27:D45)&lt;&gt;0,SUM(D27:D45),"")</f>
        <v>5105543</v>
      </c>
      <c r="E46" s="86"/>
      <c r="F46" s="89"/>
    </row>
    <row r="47" spans="1:6" s="12" customFormat="1" ht="18" customHeight="1" thickBot="1">
      <c r="A47" s="219" t="s">
        <v>250</v>
      </c>
      <c r="B47" s="220" t="s">
        <v>251</v>
      </c>
      <c r="C47" s="221">
        <f>SUM(C46,C25)</f>
        <v>26867786</v>
      </c>
      <c r="D47" s="222">
        <f>SUM(D46,D25)</f>
        <v>20045320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8245320</v>
      </c>
      <c r="D12" s="214">
        <f>'TB-上期'!AC77</f>
        <v>66666</v>
      </c>
      <c r="E12" s="86"/>
      <c r="F12" s="89"/>
      <c r="H12" s="86"/>
    </row>
    <row r="13" spans="1:8" s="12" customFormat="1" ht="16.5" customHeight="1">
      <c r="A13" s="225" t="s">
        <v>261</v>
      </c>
      <c r="B13" s="10"/>
      <c r="C13" s="42">
        <f>'TB-本期'!AC78</f>
        <v>0</v>
      </c>
      <c r="D13" s="214">
        <f>'TB-上期'!AC78</f>
        <v>8178654</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4000000</v>
      </c>
      <c r="D19" s="214">
        <f>'TB-上期'!AC84</f>
        <v>4000000</v>
      </c>
      <c r="E19" s="86"/>
      <c r="F19" s="87"/>
      <c r="H19" s="86"/>
    </row>
    <row r="20" spans="1:8" s="12" customFormat="1" ht="16.5" customHeight="1">
      <c r="A20" s="225" t="s">
        <v>265</v>
      </c>
      <c r="B20" s="10"/>
      <c r="C20" s="42">
        <f>'TB-本期'!AC85</f>
        <v>1000000</v>
      </c>
      <c r="D20" s="214">
        <f>'TB-上期'!AC85</f>
        <v>1000000</v>
      </c>
      <c r="E20" s="86"/>
      <c r="F20" s="87"/>
      <c r="H20" s="86"/>
    </row>
    <row r="21" spans="1:8" s="12" customFormat="1" ht="16.5" customHeight="1">
      <c r="A21" s="225" t="s">
        <v>266</v>
      </c>
      <c r="B21" s="10"/>
      <c r="C21" s="42">
        <f>'TB-本期'!AC86</f>
        <v>3000000</v>
      </c>
      <c r="D21" s="214">
        <f>'TB-上期'!AC86</f>
        <v>3000000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16245320</v>
      </c>
      <c r="D27" s="218">
        <f>IF(SUM(D6:D26)&lt;&gt;0,SUM(D6:D26),"")</f>
        <v>16245320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16245320</v>
      </c>
      <c r="D41" s="218">
        <f>IF(SUM(D40,D27)&lt;&gt;0,SUM(D40,D27),"")</f>
        <v>16245320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2000000</v>
      </c>
      <c r="D43" s="214">
        <f>'TB-上期'!AC110</f>
        <v>2000000</v>
      </c>
      <c r="E43" s="86"/>
      <c r="F43" s="87"/>
    </row>
    <row r="44" spans="1:6" s="12" customFormat="1" ht="16.5" customHeight="1">
      <c r="A44" s="225" t="s">
        <v>287</v>
      </c>
      <c r="B44" s="10"/>
      <c r="C44" s="42">
        <f>'TB-本期'!AC111</f>
        <v>1000000</v>
      </c>
      <c r="D44" s="214">
        <f>'TB-上期'!AC111</f>
        <v>1000000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682246.60000000009</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6940219.4000000004</v>
      </c>
      <c r="D53" s="214">
        <f>'TB-上期'!AC120</f>
        <v>800000</v>
      </c>
      <c r="E53" s="86"/>
      <c r="F53" s="87"/>
    </row>
    <row r="54" spans="1:6" s="12" customFormat="1" ht="16.5" customHeight="1">
      <c r="A54" s="225" t="s">
        <v>296</v>
      </c>
      <c r="B54" s="10"/>
      <c r="C54" s="44">
        <f>IF((SUM(C43:C47,C49:C53)-C48-C45-C46)&lt;&gt;0,(SUM(C43:C47,C49:C53)-C48-C45-C46),"")</f>
        <v>10622466</v>
      </c>
      <c r="D54" s="217">
        <f>IF((SUM(D43:D47,D49:D53)-D48-D45-D46)&lt;&gt;0,(SUM(D43:D47,D49:D53)-D48-D45-D46),"")</f>
        <v>3800000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10622466</v>
      </c>
      <c r="D56" s="218">
        <f>SUM(D54:D55)</f>
        <v>3800000</v>
      </c>
      <c r="E56" s="86"/>
      <c r="F56" s="89"/>
    </row>
    <row r="57" spans="1:6" s="12" customFormat="1" ht="16.5" customHeight="1" thickBot="1">
      <c r="A57" s="228" t="s">
        <v>299</v>
      </c>
      <c r="B57" s="220" t="s">
        <v>251</v>
      </c>
      <c r="C57" s="221">
        <f>SUM(C41,C56)</f>
        <v>26867786</v>
      </c>
      <c r="D57" s="222">
        <f>SUM(D41,D56)</f>
        <v>20045320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18000000</v>
      </c>
      <c r="D5" s="236">
        <f>SUM(D6:D9)</f>
        <v>6127655.8899999997</v>
      </c>
    </row>
    <row r="6" spans="1:7" ht="16.5" customHeight="1">
      <c r="A6" s="225" t="s">
        <v>305</v>
      </c>
      <c r="B6" s="22"/>
      <c r="C6" s="51">
        <f>'TB-本期'!AC127</f>
        <v>18000000</v>
      </c>
      <c r="D6" s="237">
        <f>'TB-上期'!AC127</f>
        <v>6127655.8899999997</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9300000</v>
      </c>
      <c r="D10" s="236">
        <f>SUM(D11:D25)-SUM(D24:D25)</f>
        <v>5088888.8899999997</v>
      </c>
    </row>
    <row r="11" spans="1:7" ht="16.5" customHeight="1">
      <c r="A11" s="225" t="s">
        <v>310</v>
      </c>
      <c r="B11" s="22"/>
      <c r="C11" s="51">
        <f>'TB-本期'!AC132</f>
        <v>7000000</v>
      </c>
      <c r="D11" s="237">
        <f>'TB-上期'!AC132</f>
        <v>4000000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300000</v>
      </c>
      <c r="D19" s="237">
        <f>'TB-上期'!AC140</f>
        <v>688888.88999999966</v>
      </c>
    </row>
    <row r="20" spans="1:4" ht="16.5" customHeight="1">
      <c r="A20" s="225" t="s">
        <v>319</v>
      </c>
      <c r="B20" s="22"/>
      <c r="C20" s="51">
        <f>'TB-本期'!AC141</f>
        <v>300000</v>
      </c>
      <c r="D20" s="237">
        <f>'TB-上期'!AC141</f>
        <v>100000</v>
      </c>
    </row>
    <row r="21" spans="1:4" ht="16.5" customHeight="1">
      <c r="A21" s="225" t="s">
        <v>320</v>
      </c>
      <c r="B21" s="22"/>
      <c r="C21" s="51">
        <f>'TB-本期'!AC142</f>
        <v>1550000</v>
      </c>
      <c r="D21" s="237">
        <f>'TB-上期'!AC142</f>
        <v>250000</v>
      </c>
    </row>
    <row r="22" spans="1:4" ht="16.5" customHeight="1">
      <c r="A22" s="225" t="s">
        <v>321</v>
      </c>
      <c r="B22" s="22"/>
      <c r="C22" s="51">
        <f>'TB-本期'!AC143</f>
        <v>0</v>
      </c>
      <c r="D22" s="237">
        <f>'TB-上期'!AC143</f>
        <v>0</v>
      </c>
    </row>
    <row r="23" spans="1:4" ht="16.5" customHeight="1">
      <c r="A23" s="225" t="s">
        <v>322</v>
      </c>
      <c r="B23" s="22"/>
      <c r="C23" s="51">
        <f>'TB-本期'!AC144</f>
        <v>150000</v>
      </c>
      <c r="D23" s="237">
        <f>'TB-上期'!AC144</f>
        <v>50000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8700000</v>
      </c>
      <c r="D35" s="236">
        <f>D5-D10+SUM(D26:D34)-D28</f>
        <v>1038767</v>
      </c>
    </row>
    <row r="36" spans="1:4" ht="16.5" customHeight="1">
      <c r="A36" s="225" t="s">
        <v>332</v>
      </c>
      <c r="B36" s="22"/>
      <c r="C36" s="51">
        <f>'TB-本期'!AC157</f>
        <v>66666</v>
      </c>
      <c r="D36" s="237">
        <f>'TB-上期'!AC157</f>
        <v>33333</v>
      </c>
    </row>
    <row r="37" spans="1:4" ht="16.5" customHeight="1">
      <c r="A37" s="225" t="s">
        <v>333</v>
      </c>
      <c r="B37" s="22"/>
      <c r="C37" s="51">
        <f>'TB-本期'!AC158</f>
        <v>44200</v>
      </c>
      <c r="D37" s="237">
        <f>'TB-上期'!AC158</f>
        <v>22100</v>
      </c>
    </row>
    <row r="38" spans="1:4" ht="16.5" customHeight="1">
      <c r="A38" s="224" t="s">
        <v>334</v>
      </c>
      <c r="B38" s="22"/>
      <c r="C38" s="45">
        <f>C35+C36-C37</f>
        <v>8722466</v>
      </c>
      <c r="D38" s="236">
        <f>D35+D36-D37</f>
        <v>1050000</v>
      </c>
    </row>
    <row r="39" spans="1:4" ht="16.5" customHeight="1">
      <c r="A39" s="225" t="s">
        <v>335</v>
      </c>
      <c r="B39" s="22"/>
      <c r="C39" s="51">
        <f>'TB-本期'!AC160</f>
        <v>1900000</v>
      </c>
      <c r="D39" s="237">
        <f>'TB-上期'!AC160</f>
        <v>250000</v>
      </c>
    </row>
    <row r="40" spans="1:4" ht="16.5" customHeight="1">
      <c r="A40" s="224" t="s">
        <v>336</v>
      </c>
      <c r="B40" s="22"/>
      <c r="C40" s="46">
        <f>C38-C39</f>
        <v>6822466</v>
      </c>
      <c r="D40" s="238">
        <f>D38-D39</f>
        <v>800000</v>
      </c>
    </row>
    <row r="41" spans="1:4" ht="16.5" customHeight="1">
      <c r="A41" s="225" t="s">
        <v>337</v>
      </c>
      <c r="B41" s="22"/>
      <c r="C41" s="47"/>
      <c r="D41" s="239"/>
    </row>
    <row r="42" spans="1:4" ht="16.5" customHeight="1">
      <c r="A42" s="225" t="s">
        <v>338</v>
      </c>
      <c r="B42" s="22"/>
      <c r="C42" s="47">
        <f>C40-C43</f>
        <v>6822466</v>
      </c>
      <c r="D42" s="239">
        <f>D40-D43</f>
        <v>800000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6822466</v>
      </c>
      <c r="D46" s="239">
        <f>D40-D45</f>
        <v>800000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6822466</v>
      </c>
      <c r="D60" s="244">
        <f>D40+D47</f>
        <v>800000</v>
      </c>
    </row>
    <row r="61" spans="1:4" ht="16.5" hidden="1" customHeight="1">
      <c r="A61" s="229" t="s">
        <v>357</v>
      </c>
      <c r="B61" s="230"/>
      <c r="C61" s="231">
        <f>C46+C48</f>
        <v>6822466</v>
      </c>
      <c r="D61" s="231">
        <f>D46+D48</f>
        <v>800000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2000000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1000000</v>
      </c>
      <c r="L7" s="170"/>
      <c r="M7" s="171">
        <f>SUM(B7:F7,-G7,H7:L7)</f>
        <v>3000000</v>
      </c>
      <c r="N7" s="172">
        <f>'TB-上期'!C110</f>
        <v>2000000</v>
      </c>
      <c r="O7" s="172"/>
      <c r="P7" s="172"/>
      <c r="Q7" s="172"/>
      <c r="R7" s="169"/>
      <c r="S7" s="169"/>
      <c r="T7" s="169"/>
      <c r="U7" s="169"/>
      <c r="V7" s="169"/>
      <c r="W7" s="170">
        <f>'TB-上期'!AC168</f>
        <v>200000</v>
      </c>
      <c r="X7" s="170"/>
      <c r="Y7" s="173">
        <f>SUM(N7:R7,-S7,T7:X7)</f>
        <v>2200000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2000000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1000000</v>
      </c>
      <c r="L11" s="169"/>
      <c r="M11" s="171">
        <f t="shared" si="1"/>
        <v>3000000</v>
      </c>
      <c r="N11" s="172">
        <f t="shared" ref="N11:W11" si="4">SUM(N7:N10)</f>
        <v>2000000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200000</v>
      </c>
      <c r="X11" s="170"/>
      <c r="Y11" s="173">
        <f t="shared" si="2"/>
        <v>2200000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6822466</v>
      </c>
      <c r="L12" s="168"/>
      <c r="M12" s="171">
        <f t="shared" si="1"/>
        <v>6822466</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800000</v>
      </c>
      <c r="X12" s="263"/>
      <c r="Y12" s="173">
        <f t="shared" si="2"/>
        <v>800000</v>
      </c>
    </row>
    <row r="13" spans="1:25" s="164" customFormat="1" ht="22.5" customHeight="1">
      <c r="A13" s="175" t="s">
        <v>632</v>
      </c>
      <c r="B13" s="168"/>
      <c r="C13" s="168"/>
      <c r="D13" s="168"/>
      <c r="E13" s="168"/>
      <c r="F13" s="168"/>
      <c r="G13" s="169"/>
      <c r="H13" s="169">
        <v>0</v>
      </c>
      <c r="I13" s="169"/>
      <c r="J13" s="169"/>
      <c r="K13" s="170">
        <f>'TB-本期'!AC166</f>
        <v>6822466</v>
      </c>
      <c r="L13" s="170"/>
      <c r="M13" s="171">
        <f t="shared" si="1"/>
        <v>6822466</v>
      </c>
      <c r="N13" s="172"/>
      <c r="O13" s="172"/>
      <c r="P13" s="172"/>
      <c r="Q13" s="172"/>
      <c r="R13" s="169"/>
      <c r="S13" s="169"/>
      <c r="T13" s="169">
        <v>0</v>
      </c>
      <c r="U13" s="169"/>
      <c r="V13" s="169"/>
      <c r="W13" s="170">
        <f>'TB-上期'!AC166</f>
        <v>800000</v>
      </c>
      <c r="X13" s="170"/>
      <c r="Y13" s="173">
        <f t="shared" si="2"/>
        <v>800000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2000000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7822466</v>
      </c>
      <c r="L34" s="183"/>
      <c r="M34" s="184">
        <f t="shared" si="1"/>
        <v>9822466</v>
      </c>
      <c r="N34" s="185">
        <f t="shared" ref="N34:V34" si="16">N11+N12</f>
        <v>2000000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1000000</v>
      </c>
      <c r="X34" s="264"/>
      <c r="Y34" s="186">
        <f t="shared" si="2"/>
        <v>3000000</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882246.59999999963</v>
      </c>
      <c r="L37" s="191"/>
      <c r="M37" s="191">
        <f>M34-'资产负债表（续）'!C56</f>
        <v>-800000</v>
      </c>
      <c r="N37" s="191">
        <f>N34-'资产负债表（续）'!D43</f>
        <v>0</v>
      </c>
      <c r="O37" s="191"/>
      <c r="P37" s="191"/>
      <c r="Q37" s="191"/>
      <c r="R37" s="191"/>
      <c r="S37" s="191"/>
      <c r="T37" s="191"/>
      <c r="U37" s="191"/>
      <c r="V37" s="191">
        <f>V34-'资产负债表（续）'!C51</f>
        <v>-682246.60000000009</v>
      </c>
      <c r="W37" s="191">
        <f>W34-'资产负债表（续）'!D53</f>
        <v>200000</v>
      </c>
      <c r="X37" s="191"/>
      <c r="Y37" s="192">
        <f>Y34-'资产负债表（续）'!D56</f>
        <v>-800000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tabSelected="1" workbookViewId="0">
      <pane xSplit="3" ySplit="5" topLeftCell="W6" activePane="bottomRight" state="frozen"/>
      <selection activeCell="A192" sqref="A192:XFD265"/>
      <selection pane="topRight" activeCell="A192" sqref="A192:XFD265"/>
      <selection pane="bottomLeft" activeCell="A192" sqref="A192:XFD265"/>
      <selection pane="bottomRight" activeCell="AE3" sqref="AE3"/>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8000000</v>
      </c>
      <c r="D7" s="57"/>
      <c r="E7" s="57"/>
      <c r="F7" s="57"/>
      <c r="G7" s="57"/>
      <c r="H7" s="57"/>
      <c r="I7" s="57"/>
      <c r="J7" s="57"/>
      <c r="K7" s="57"/>
      <c r="L7" s="57"/>
      <c r="M7" s="57"/>
      <c r="N7" s="57"/>
      <c r="O7" s="57"/>
      <c r="P7" s="57"/>
      <c r="Q7" s="57"/>
      <c r="R7" s="57"/>
      <c r="S7" s="57"/>
      <c r="T7" s="57"/>
      <c r="U7" s="57"/>
      <c r="V7" s="57"/>
      <c r="W7" s="57"/>
      <c r="X7" s="57"/>
      <c r="Y7" s="57"/>
      <c r="Z7" s="57">
        <f t="shared" ref="Z7:Z42" si="0">SUM(C7:Y7)</f>
        <v>8000000</v>
      </c>
      <c r="AA7" s="58">
        <f>SUMIF('调整分录-上期'!$D:$D,$A7,'调整分录-上期'!F:F)</f>
        <v>0</v>
      </c>
      <c r="AB7" s="58">
        <f>SUMIF('调整分录-上期'!$D:$D,$A7,'调整分录-上期'!G:G)</f>
        <v>0</v>
      </c>
      <c r="AC7" s="59">
        <f>Z7+AA7-AB7</f>
        <v>8000000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3000000</v>
      </c>
      <c r="D13" s="57"/>
      <c r="E13" s="57"/>
      <c r="F13" s="57"/>
      <c r="G13" s="57"/>
      <c r="H13" s="57"/>
      <c r="I13" s="57"/>
      <c r="J13" s="57"/>
      <c r="K13" s="57"/>
      <c r="L13" s="57"/>
      <c r="M13" s="57"/>
      <c r="N13" s="57"/>
      <c r="O13" s="57"/>
      <c r="P13" s="57"/>
      <c r="Q13" s="57"/>
      <c r="R13" s="57"/>
      <c r="S13" s="57"/>
      <c r="T13" s="57"/>
      <c r="U13" s="57"/>
      <c r="V13" s="57"/>
      <c r="W13" s="57"/>
      <c r="X13" s="57"/>
      <c r="Y13" s="57"/>
      <c r="Z13" s="57">
        <f t="shared" si="0"/>
        <v>3000000</v>
      </c>
      <c r="AA13" s="58">
        <f>SUMIF('调整分录-上期'!$D:$D,$A13,'调整分录-上期'!F:F)</f>
        <v>0</v>
      </c>
      <c r="AB13" s="58">
        <f>SUMIF('调整分录-上期'!$D:$D,$A13,'调整分录-上期'!G:G)</f>
        <v>0</v>
      </c>
      <c r="AC13" s="59">
        <f t="shared" si="1"/>
        <v>3000000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3000000</v>
      </c>
      <c r="D15" s="61"/>
      <c r="E15" s="61"/>
      <c r="F15" s="61"/>
      <c r="G15" s="61"/>
      <c r="H15" s="61"/>
      <c r="I15" s="61"/>
      <c r="J15" s="61"/>
      <c r="K15" s="61"/>
      <c r="L15" s="61"/>
      <c r="M15" s="61"/>
      <c r="N15" s="61"/>
      <c r="O15" s="61"/>
      <c r="P15" s="61"/>
      <c r="Q15" s="61"/>
      <c r="R15" s="61"/>
      <c r="S15" s="61"/>
      <c r="T15" s="61"/>
      <c r="U15" s="61"/>
      <c r="V15" s="61"/>
      <c r="W15" s="61"/>
      <c r="X15" s="61"/>
      <c r="Y15" s="61"/>
      <c r="Z15" s="61">
        <f t="shared" si="0"/>
        <v>3000000</v>
      </c>
      <c r="AA15" s="62"/>
      <c r="AB15" s="62"/>
      <c r="AC15" s="63">
        <f>AC13-AC14</f>
        <v>3000000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2162000</v>
      </c>
      <c r="D17" s="57"/>
      <c r="E17" s="57"/>
      <c r="F17" s="57"/>
      <c r="G17" s="57"/>
      <c r="H17" s="57"/>
      <c r="I17" s="57"/>
      <c r="J17" s="57"/>
      <c r="K17" s="57"/>
      <c r="L17" s="57"/>
      <c r="M17" s="57"/>
      <c r="N17" s="57"/>
      <c r="O17" s="57"/>
      <c r="P17" s="57"/>
      <c r="Q17" s="57"/>
      <c r="R17" s="57"/>
      <c r="S17" s="57"/>
      <c r="T17" s="57"/>
      <c r="U17" s="57"/>
      <c r="V17" s="57"/>
      <c r="W17" s="57"/>
      <c r="X17" s="57"/>
      <c r="Y17" s="57"/>
      <c r="Z17" s="57">
        <f t="shared" si="0"/>
        <v>2162000</v>
      </c>
      <c r="AA17" s="58">
        <f>SUMIF('调整分录-上期'!$D:$D,$A17,'调整分录-上期'!F:F)</f>
        <v>0</v>
      </c>
      <c r="AB17" s="58">
        <f>SUMIF('调整分录-上期'!$D:$D,$A17,'调整分录-上期'!G:G)</f>
        <v>0</v>
      </c>
      <c r="AC17" s="59">
        <f t="shared" ref="AC17:AC67" si="2">Z17+AA17-AB17</f>
        <v>2162000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1000000</v>
      </c>
      <c r="D21" s="57"/>
      <c r="E21" s="57"/>
      <c r="F21" s="57"/>
      <c r="G21" s="57"/>
      <c r="H21" s="57"/>
      <c r="I21" s="57"/>
      <c r="J21" s="57"/>
      <c r="K21" s="57"/>
      <c r="L21" s="57"/>
      <c r="M21" s="57"/>
      <c r="N21" s="57"/>
      <c r="O21" s="57"/>
      <c r="P21" s="57"/>
      <c r="Q21" s="57"/>
      <c r="R21" s="57"/>
      <c r="S21" s="57"/>
      <c r="T21" s="57"/>
      <c r="U21" s="57"/>
      <c r="V21" s="57"/>
      <c r="W21" s="57"/>
      <c r="X21" s="57"/>
      <c r="Y21" s="57"/>
      <c r="Z21" s="57">
        <f t="shared" si="0"/>
        <v>1000000</v>
      </c>
      <c r="AA21" s="58">
        <f>SUMIF('调整分录-上期'!$D:$D,$A21,'调整分录-上期'!F:F)</f>
        <v>0</v>
      </c>
      <c r="AB21" s="58">
        <f>SUMIF('调整分录-上期'!$D:$D,$A21,'调整分录-上期'!G:G)</f>
        <v>0</v>
      </c>
      <c r="AC21" s="59">
        <f t="shared" si="2"/>
        <v>1000000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1000000</v>
      </c>
      <c r="D23" s="64"/>
      <c r="E23" s="64"/>
      <c r="F23" s="64"/>
      <c r="G23" s="64"/>
      <c r="H23" s="64"/>
      <c r="I23" s="64"/>
      <c r="J23" s="64"/>
      <c r="K23" s="64"/>
      <c r="L23" s="64"/>
      <c r="M23" s="64"/>
      <c r="N23" s="64"/>
      <c r="O23" s="64"/>
      <c r="P23" s="64"/>
      <c r="Q23" s="64"/>
      <c r="R23" s="64"/>
      <c r="S23" s="64"/>
      <c r="T23" s="64"/>
      <c r="U23" s="64"/>
      <c r="V23" s="64"/>
      <c r="W23" s="64"/>
      <c r="X23" s="64"/>
      <c r="Y23" s="64"/>
      <c r="Z23" s="61">
        <f t="shared" si="0"/>
        <v>1000000</v>
      </c>
      <c r="AA23" s="64"/>
      <c r="AB23" s="64"/>
      <c r="AC23" s="65">
        <f>AC21-AC22</f>
        <v>1000000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777777</v>
      </c>
      <c r="D25" s="57"/>
      <c r="E25" s="57"/>
      <c r="F25" s="57"/>
      <c r="G25" s="57"/>
      <c r="H25" s="57"/>
      <c r="I25" s="57"/>
      <c r="J25" s="57"/>
      <c r="K25" s="57"/>
      <c r="L25" s="57"/>
      <c r="M25" s="57"/>
      <c r="N25" s="57"/>
      <c r="O25" s="57"/>
      <c r="P25" s="57"/>
      <c r="Q25" s="57"/>
      <c r="R25" s="57"/>
      <c r="S25" s="57"/>
      <c r="T25" s="57"/>
      <c r="U25" s="57"/>
      <c r="V25" s="57"/>
      <c r="W25" s="57"/>
      <c r="X25" s="57"/>
      <c r="Y25" s="57"/>
      <c r="Z25" s="57">
        <f t="shared" si="0"/>
        <v>777777</v>
      </c>
      <c r="AA25" s="58">
        <f>SUMIF('调整分录-上期'!$D:$D,$A25,'调整分录-上期'!F:F)</f>
        <v>0</v>
      </c>
      <c r="AB25" s="58">
        <f>SUMIF('调整分录-上期'!$D:$D,$A25,'调整分录-上期'!G:G)</f>
        <v>0</v>
      </c>
      <c r="AC25" s="59">
        <f t="shared" si="2"/>
        <v>777777</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777777</v>
      </c>
      <c r="D27" s="64"/>
      <c r="E27" s="64"/>
      <c r="F27" s="64"/>
      <c r="G27" s="64"/>
      <c r="H27" s="64"/>
      <c r="I27" s="64"/>
      <c r="J27" s="64"/>
      <c r="K27" s="64"/>
      <c r="L27" s="64"/>
      <c r="M27" s="64"/>
      <c r="N27" s="64"/>
      <c r="O27" s="64"/>
      <c r="P27" s="64"/>
      <c r="Q27" s="64"/>
      <c r="R27" s="64"/>
      <c r="S27" s="64"/>
      <c r="T27" s="64"/>
      <c r="U27" s="64"/>
      <c r="V27" s="64"/>
      <c r="W27" s="64"/>
      <c r="X27" s="64"/>
      <c r="Y27" s="64"/>
      <c r="Z27" s="61">
        <f t="shared" si="0"/>
        <v>777777</v>
      </c>
      <c r="AA27" s="64"/>
      <c r="AB27" s="64"/>
      <c r="AC27" s="65">
        <f>AC25-AC26</f>
        <v>777777</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14939777</v>
      </c>
      <c r="D32" s="64"/>
      <c r="E32" s="64"/>
      <c r="F32" s="64"/>
      <c r="G32" s="64"/>
      <c r="H32" s="64"/>
      <c r="I32" s="64"/>
      <c r="J32" s="64"/>
      <c r="K32" s="64"/>
      <c r="L32" s="64"/>
      <c r="M32" s="64"/>
      <c r="N32" s="64"/>
      <c r="O32" s="64"/>
      <c r="P32" s="64"/>
      <c r="Q32" s="64"/>
      <c r="R32" s="64"/>
      <c r="S32" s="64"/>
      <c r="T32" s="64"/>
      <c r="U32" s="64"/>
      <c r="V32" s="64"/>
      <c r="W32" s="64"/>
      <c r="X32" s="64"/>
      <c r="Y32" s="64"/>
      <c r="Z32" s="61">
        <f t="shared" si="0"/>
        <v>14939777</v>
      </c>
      <c r="AA32" s="64">
        <f>SUM(AA7:AA31)</f>
        <v>0</v>
      </c>
      <c r="AB32" s="64">
        <f>SUM(AB7:AB31)</f>
        <v>0</v>
      </c>
      <c r="AC32" s="65">
        <f>SUM(AC7:AC31)-SUM(AC13:AC14)-SUM(AC21:AC22)-SUM(AC25:AC26)</f>
        <v>14939777</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700000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700000</v>
      </c>
      <c r="AA41" s="58">
        <f>SUMIF('调整分录-上期'!$D:$D,$A41,'调整分录-上期'!F:F)</f>
        <v>0</v>
      </c>
      <c r="AB41" s="58">
        <f>SUMIF('调整分录-上期'!$D:$D,$A41,'调整分录-上期'!G:G)</f>
        <v>0</v>
      </c>
      <c r="AC41" s="59">
        <f t="shared" si="2"/>
        <v>700000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2000000</v>
      </c>
      <c r="D47" s="57"/>
      <c r="E47" s="57"/>
      <c r="F47" s="57"/>
      <c r="G47" s="57"/>
      <c r="H47" s="57"/>
      <c r="I47" s="57"/>
      <c r="J47" s="57"/>
      <c r="K47" s="57"/>
      <c r="L47" s="57"/>
      <c r="M47" s="57"/>
      <c r="N47" s="57"/>
      <c r="O47" s="57"/>
      <c r="P47" s="57"/>
      <c r="Q47" s="57"/>
      <c r="R47" s="57"/>
      <c r="S47" s="57"/>
      <c r="T47" s="57"/>
      <c r="U47" s="57"/>
      <c r="V47" s="57"/>
      <c r="W47" s="57"/>
      <c r="X47" s="57"/>
      <c r="Y47" s="57"/>
      <c r="Z47" s="57">
        <f t="shared" si="3"/>
        <v>2000000</v>
      </c>
      <c r="AA47" s="58">
        <f>SUMIF('调整分录-上期'!$D:$D,$A47,'调整分录-上期'!F:F)</f>
        <v>0</v>
      </c>
      <c r="AB47" s="58">
        <f>SUMIF('调整分录-上期'!$D:$D,$A47,'调整分录-上期'!G:G)</f>
        <v>0</v>
      </c>
      <c r="AC47" s="59">
        <f t="shared" si="2"/>
        <v>2000000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2000000</v>
      </c>
      <c r="D50" s="64"/>
      <c r="E50" s="64"/>
      <c r="F50" s="64"/>
      <c r="G50" s="64"/>
      <c r="H50" s="64"/>
      <c r="I50" s="64"/>
      <c r="J50" s="64"/>
      <c r="K50" s="64"/>
      <c r="L50" s="64"/>
      <c r="M50" s="64"/>
      <c r="N50" s="64"/>
      <c r="O50" s="64"/>
      <c r="P50" s="64"/>
      <c r="Q50" s="64"/>
      <c r="R50" s="64"/>
      <c r="S50" s="64"/>
      <c r="T50" s="64"/>
      <c r="U50" s="64"/>
      <c r="V50" s="64"/>
      <c r="W50" s="64"/>
      <c r="X50" s="64"/>
      <c r="Y50" s="64"/>
      <c r="Z50" s="61">
        <f t="shared" si="3"/>
        <v>2000000</v>
      </c>
      <c r="AA50" s="64"/>
      <c r="AB50" s="64"/>
      <c r="AC50" s="65">
        <f>AC47-AC48-AC49</f>
        <v>2000000</v>
      </c>
    </row>
    <row r="51" spans="1:29" ht="15" customHeight="1">
      <c r="A51" s="123" t="s">
        <v>144</v>
      </c>
      <c r="B51" s="54" t="s">
        <v>45</v>
      </c>
      <c r="C51" s="57">
        <f>[4]资产负债表!$D$26</f>
        <v>2405543</v>
      </c>
      <c r="D51" s="57"/>
      <c r="E51" s="57"/>
      <c r="F51" s="57"/>
      <c r="G51" s="57"/>
      <c r="H51" s="57"/>
      <c r="I51" s="57"/>
      <c r="J51" s="57"/>
      <c r="K51" s="57"/>
      <c r="L51" s="57"/>
      <c r="M51" s="57"/>
      <c r="N51" s="57"/>
      <c r="O51" s="57"/>
      <c r="P51" s="57"/>
      <c r="Q51" s="57"/>
      <c r="R51" s="57"/>
      <c r="S51" s="57"/>
      <c r="T51" s="57"/>
      <c r="U51" s="57"/>
      <c r="V51" s="57"/>
      <c r="W51" s="57"/>
      <c r="X51" s="57"/>
      <c r="Y51" s="57"/>
      <c r="Z51" s="57">
        <f t="shared" si="3"/>
        <v>2405543</v>
      </c>
      <c r="AA51" s="58">
        <f>SUMIF('调整分录-上期'!$D:$D,$A51,'调整分录-上期'!F:F)</f>
        <v>0</v>
      </c>
      <c r="AB51" s="58">
        <f>SUMIF('调整分录-上期'!$D:$D,$A51,'调整分录-上期'!G:G)</f>
        <v>0</v>
      </c>
      <c r="AC51" s="59">
        <f t="shared" si="2"/>
        <v>2405543</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2405543</v>
      </c>
      <c r="D53" s="64"/>
      <c r="E53" s="64"/>
      <c r="F53" s="64"/>
      <c r="G53" s="64"/>
      <c r="H53" s="64"/>
      <c r="I53" s="64"/>
      <c r="J53" s="64"/>
      <c r="K53" s="64"/>
      <c r="L53" s="64"/>
      <c r="M53" s="64"/>
      <c r="N53" s="64"/>
      <c r="O53" s="64"/>
      <c r="P53" s="64"/>
      <c r="Q53" s="64"/>
      <c r="R53" s="64"/>
      <c r="S53" s="64"/>
      <c r="T53" s="64"/>
      <c r="U53" s="64"/>
      <c r="V53" s="64"/>
      <c r="W53" s="64"/>
      <c r="X53" s="64"/>
      <c r="Y53" s="64"/>
      <c r="Z53" s="61">
        <f t="shared" si="3"/>
        <v>2405543</v>
      </c>
      <c r="AA53" s="64"/>
      <c r="AB53" s="64"/>
      <c r="AC53" s="65">
        <f>AC51-AC52</f>
        <v>2405543</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5105543</v>
      </c>
      <c r="D68" s="64"/>
      <c r="E68" s="64"/>
      <c r="F68" s="64"/>
      <c r="G68" s="64"/>
      <c r="H68" s="64"/>
      <c r="I68" s="64"/>
      <c r="J68" s="64"/>
      <c r="K68" s="64"/>
      <c r="L68" s="64"/>
      <c r="M68" s="64"/>
      <c r="N68" s="64"/>
      <c r="O68" s="64"/>
      <c r="P68" s="64"/>
      <c r="Q68" s="64"/>
      <c r="R68" s="64"/>
      <c r="S68" s="64"/>
      <c r="T68" s="64"/>
      <c r="U68" s="64"/>
      <c r="V68" s="64"/>
      <c r="W68" s="64"/>
      <c r="X68" s="64"/>
      <c r="Y68" s="64"/>
      <c r="Z68" s="61">
        <f t="shared" si="3"/>
        <v>5105543</v>
      </c>
      <c r="AA68" s="64">
        <f>SUM(AA34:AA67)</f>
        <v>0</v>
      </c>
      <c r="AB68" s="64">
        <f>SUM(AB34:AB67)</f>
        <v>0</v>
      </c>
      <c r="AC68" s="65">
        <f>SUM(AC34:AC67)-SUM(AC38:AC39)-SUM(AC43:AC45)-SUM(AC47:AC49)-SUM(AC51:AC52)-SUM(AC57:AC59)-SUM(AC62:AC63)</f>
        <v>5105543</v>
      </c>
    </row>
    <row r="69" spans="1:29" ht="15" customHeight="1">
      <c r="A69" s="123"/>
      <c r="B69" s="60" t="s">
        <v>74</v>
      </c>
      <c r="C69" s="64">
        <f>C32+C68</f>
        <v>20045320</v>
      </c>
      <c r="D69" s="64"/>
      <c r="E69" s="64"/>
      <c r="F69" s="64"/>
      <c r="G69" s="64"/>
      <c r="H69" s="64"/>
      <c r="I69" s="64"/>
      <c r="J69" s="64"/>
      <c r="K69" s="64"/>
      <c r="L69" s="64"/>
      <c r="M69" s="64"/>
      <c r="N69" s="64"/>
      <c r="O69" s="64"/>
      <c r="P69" s="64"/>
      <c r="Q69" s="64"/>
      <c r="R69" s="64"/>
      <c r="S69" s="64"/>
      <c r="T69" s="64"/>
      <c r="U69" s="64"/>
      <c r="V69" s="64"/>
      <c r="W69" s="64"/>
      <c r="X69" s="64"/>
      <c r="Y69" s="64"/>
      <c r="Z69" s="61">
        <f t="shared" si="3"/>
        <v>20045320</v>
      </c>
      <c r="AA69" s="64">
        <f>AA32+AA68</f>
        <v>0</v>
      </c>
      <c r="AB69" s="64">
        <f>AB32+AB68</f>
        <v>0</v>
      </c>
      <c r="AC69" s="65">
        <f>AC32+AC68</f>
        <v>20045320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66666</v>
      </c>
      <c r="D77" s="57"/>
      <c r="E77" s="57"/>
      <c r="F77" s="57"/>
      <c r="G77" s="57"/>
      <c r="H77" s="57"/>
      <c r="I77" s="57"/>
      <c r="J77" s="57"/>
      <c r="K77" s="57"/>
      <c r="L77" s="57"/>
      <c r="M77" s="57"/>
      <c r="N77" s="57"/>
      <c r="O77" s="57"/>
      <c r="P77" s="57"/>
      <c r="Q77" s="57"/>
      <c r="R77" s="57"/>
      <c r="S77" s="57"/>
      <c r="T77" s="57"/>
      <c r="U77" s="57"/>
      <c r="V77" s="57"/>
      <c r="W77" s="57"/>
      <c r="X77" s="57"/>
      <c r="Y77" s="57"/>
      <c r="Z77" s="57">
        <f t="shared" si="10"/>
        <v>66666</v>
      </c>
      <c r="AA77" s="58">
        <f>SUMIF('调整分录-上期'!$D:$D,$A77,'调整分录-上期'!F:F)</f>
        <v>0</v>
      </c>
      <c r="AB77" s="58">
        <f>SUMIF('调整分录-上期'!$D:$D,$A77,'调整分录-上期'!G:G)</f>
        <v>0</v>
      </c>
      <c r="AC77" s="59">
        <f t="shared" si="9"/>
        <v>66666</v>
      </c>
    </row>
    <row r="78" spans="1:29" ht="15" customHeight="1">
      <c r="A78" s="123" t="s">
        <v>154</v>
      </c>
      <c r="B78" s="54" t="s">
        <v>4</v>
      </c>
      <c r="C78" s="57">
        <f>[4]资产负债表!$H$10</f>
        <v>8178654</v>
      </c>
      <c r="D78" s="57"/>
      <c r="E78" s="57"/>
      <c r="F78" s="57"/>
      <c r="G78" s="57"/>
      <c r="H78" s="57"/>
      <c r="I78" s="57"/>
      <c r="J78" s="57"/>
      <c r="K78" s="57"/>
      <c r="L78" s="57"/>
      <c r="M78" s="57"/>
      <c r="N78" s="57"/>
      <c r="O78" s="57"/>
      <c r="P78" s="57"/>
      <c r="Q78" s="57"/>
      <c r="R78" s="57"/>
      <c r="S78" s="57"/>
      <c r="T78" s="57"/>
      <c r="U78" s="57"/>
      <c r="V78" s="57"/>
      <c r="W78" s="57"/>
      <c r="X78" s="57"/>
      <c r="Y78" s="57"/>
      <c r="Z78" s="57">
        <f>SUM(C78:Y78)</f>
        <v>8178654</v>
      </c>
      <c r="AA78" s="58">
        <f>SUMIF('调整分录-上期'!$D:$D,$A78,'调整分录-上期'!F:F)</f>
        <v>0</v>
      </c>
      <c r="AB78" s="58">
        <f>SUMIF('调整分录-上期'!$D:$D,$A78,'调整分录-上期'!G:G)</f>
        <v>0</v>
      </c>
      <c r="AC78" s="59">
        <f t="shared" si="9"/>
        <v>8178654</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4000000</v>
      </c>
      <c r="D84" s="57"/>
      <c r="E84" s="57"/>
      <c r="F84" s="57"/>
      <c r="G84" s="57"/>
      <c r="H84" s="57"/>
      <c r="I84" s="57"/>
      <c r="J84" s="57"/>
      <c r="K84" s="57"/>
      <c r="L84" s="57"/>
      <c r="M84" s="57"/>
      <c r="N84" s="57"/>
      <c r="O84" s="57"/>
      <c r="P84" s="57"/>
      <c r="Q84" s="57"/>
      <c r="R84" s="57"/>
      <c r="S84" s="57"/>
      <c r="T84" s="57"/>
      <c r="U84" s="57"/>
      <c r="V84" s="57"/>
      <c r="W84" s="57"/>
      <c r="X84" s="57"/>
      <c r="Y84" s="57"/>
      <c r="Z84" s="57">
        <f t="shared" si="10"/>
        <v>4000000</v>
      </c>
      <c r="AA84" s="58">
        <f>SUMIF('调整分录-上期'!$D:$D,$A84,'调整分录-上期'!F:F)</f>
        <v>0</v>
      </c>
      <c r="AB84" s="58">
        <f>SUMIF('调整分录-上期'!$D:$D,$A84,'调整分录-上期'!G:G)</f>
        <v>0</v>
      </c>
      <c r="AC84" s="59">
        <f t="shared" si="9"/>
        <v>4000000</v>
      </c>
    </row>
    <row r="85" spans="1:29" ht="15" customHeight="1">
      <c r="A85" s="123" t="s">
        <v>156</v>
      </c>
      <c r="B85" s="54" t="s">
        <v>8</v>
      </c>
      <c r="C85" s="57">
        <f>[4]资产负债表!$H$12</f>
        <v>1000000</v>
      </c>
      <c r="D85" s="57"/>
      <c r="E85" s="57"/>
      <c r="F85" s="57"/>
      <c r="G85" s="57"/>
      <c r="H85" s="57"/>
      <c r="I85" s="57"/>
      <c r="J85" s="57"/>
      <c r="K85" s="57"/>
      <c r="L85" s="57"/>
      <c r="M85" s="57"/>
      <c r="N85" s="57"/>
      <c r="O85" s="57"/>
      <c r="P85" s="57"/>
      <c r="Q85" s="57"/>
      <c r="R85" s="57"/>
      <c r="S85" s="57"/>
      <c r="T85" s="57"/>
      <c r="U85" s="57"/>
      <c r="V85" s="57"/>
      <c r="W85" s="57"/>
      <c r="X85" s="57"/>
      <c r="Y85" s="57"/>
      <c r="Z85" s="57">
        <f t="shared" si="10"/>
        <v>1000000</v>
      </c>
      <c r="AA85" s="58">
        <f>SUMIF('调整分录-上期'!$D:$D,$A85,'调整分录-上期'!F:F)</f>
        <v>0</v>
      </c>
      <c r="AB85" s="58">
        <f>SUMIF('调整分录-上期'!$D:$D,$A85,'调整分录-上期'!G:G)</f>
        <v>0</v>
      </c>
      <c r="AC85" s="59">
        <f t="shared" si="9"/>
        <v>1000000</v>
      </c>
    </row>
    <row r="86" spans="1:29" ht="15" customHeight="1">
      <c r="A86" s="123" t="s">
        <v>157</v>
      </c>
      <c r="B86" s="54" t="s">
        <v>10</v>
      </c>
      <c r="C86" s="57">
        <f>[4]资产负债表!$H$15</f>
        <v>3000000</v>
      </c>
      <c r="D86" s="57"/>
      <c r="E86" s="57"/>
      <c r="F86" s="57"/>
      <c r="G86" s="57"/>
      <c r="H86" s="57"/>
      <c r="I86" s="57"/>
      <c r="J86" s="57"/>
      <c r="K86" s="57"/>
      <c r="L86" s="57"/>
      <c r="M86" s="57"/>
      <c r="N86" s="57"/>
      <c r="O86" s="57"/>
      <c r="P86" s="57"/>
      <c r="Q86" s="57"/>
      <c r="R86" s="57"/>
      <c r="S86" s="57"/>
      <c r="T86" s="57"/>
      <c r="U86" s="57"/>
      <c r="V86" s="57"/>
      <c r="W86" s="57"/>
      <c r="X86" s="57"/>
      <c r="Y86" s="57"/>
      <c r="Z86" s="57">
        <f t="shared" si="10"/>
        <v>3000000</v>
      </c>
      <c r="AA86" s="58">
        <f>SUMIF('调整分录-上期'!$D:$D,$A86,'调整分录-上期'!F:F)</f>
        <v>0</v>
      </c>
      <c r="AB86" s="58">
        <f>SUMIF('调整分录-上期'!$D:$D,$A86,'调整分录-上期'!G:G)</f>
        <v>0</v>
      </c>
      <c r="AC86" s="59">
        <f t="shared" si="9"/>
        <v>3000000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16245320</v>
      </c>
      <c r="D92" s="64"/>
      <c r="E92" s="64"/>
      <c r="F92" s="64"/>
      <c r="G92" s="64"/>
      <c r="H92" s="64"/>
      <c r="I92" s="64"/>
      <c r="J92" s="64"/>
      <c r="K92" s="64"/>
      <c r="L92" s="64"/>
      <c r="M92" s="64"/>
      <c r="N92" s="64"/>
      <c r="O92" s="64"/>
      <c r="P92" s="64"/>
      <c r="Q92" s="64"/>
      <c r="R92" s="64"/>
      <c r="S92" s="64"/>
      <c r="T92" s="64"/>
      <c r="U92" s="64"/>
      <c r="V92" s="64"/>
      <c r="W92" s="64"/>
      <c r="X92" s="64"/>
      <c r="Y92" s="64"/>
      <c r="Z92" s="61">
        <f t="shared" si="10"/>
        <v>16245320</v>
      </c>
      <c r="AA92" s="64">
        <f>SUM(AA71:AA91)</f>
        <v>0</v>
      </c>
      <c r="AB92" s="64">
        <f>SUM(AB71:AB91)</f>
        <v>0</v>
      </c>
      <c r="AC92" s="65">
        <f>SUM(AC71:AC91)</f>
        <v>16245320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16245320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16245320</v>
      </c>
      <c r="AA107" s="66">
        <f>AA92+AA106</f>
        <v>0</v>
      </c>
      <c r="AB107" s="66">
        <f>AB92+AB106</f>
        <v>0</v>
      </c>
      <c r="AC107" s="67">
        <f>AC92+AC106</f>
        <v>16245320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2000000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2000000</v>
      </c>
      <c r="AA110" s="58">
        <f>SUMIF('调整分录-上期'!$D:$D,$A110,'调整分录-上期'!F:F)</f>
        <v>0</v>
      </c>
      <c r="AB110" s="58">
        <f>SUMIF('调整分录-上期'!$D:$D,$A110,'调整分录-上期'!G:G)</f>
        <v>0</v>
      </c>
      <c r="AC110" s="59">
        <f t="shared" si="9"/>
        <v>2000000</v>
      </c>
    </row>
    <row r="111" spans="1:29" ht="15" customHeight="1">
      <c r="A111" s="118" t="s">
        <v>167</v>
      </c>
      <c r="B111" s="54" t="s">
        <v>51</v>
      </c>
      <c r="C111" s="57">
        <f>[4]资产负债表!$H$32</f>
        <v>1000000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1000000</v>
      </c>
      <c r="AA111" s="58">
        <f>SUMIF('调整分录-上期'!$D:$D,$A111,'调整分录-上期'!F:F)</f>
        <v>0</v>
      </c>
      <c r="AB111" s="58">
        <f>SUMIF('调整分录-上期'!$D:$D,$A111,'调整分录-上期'!G:G)</f>
        <v>0</v>
      </c>
      <c r="AC111" s="59">
        <f t="shared" si="9"/>
        <v>1000000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0</v>
      </c>
      <c r="AA118" s="58">
        <f>SUMIF('调整分录-上期'!$D:$D,$A118,'调整分录-上期'!F:F)</f>
        <v>0</v>
      </c>
      <c r="AB118" s="58">
        <f>SUMIF('调整分录-上期'!$D:$D,$A118,'调整分录-上期'!G:G)</f>
        <v>0</v>
      </c>
      <c r="AC118" s="59">
        <f t="shared" si="9"/>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800000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800000</v>
      </c>
      <c r="AA120" s="58">
        <f>AA187</f>
        <v>0</v>
      </c>
      <c r="AB120" s="58">
        <f>AB187</f>
        <v>0</v>
      </c>
      <c r="AC120" s="59">
        <f t="shared" si="9"/>
        <v>800000</v>
      </c>
    </row>
    <row r="121" spans="1:30" ht="15" customHeight="1">
      <c r="B121" s="60" t="s">
        <v>69</v>
      </c>
      <c r="C121" s="64">
        <f>SUM(C110:C120)-SUM(C112:C113)-2*C115</f>
        <v>3800000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3800000</v>
      </c>
      <c r="AA121" s="64">
        <f>SUM(AA110:AA120)</f>
        <v>0</v>
      </c>
      <c r="AB121" s="64">
        <f>SUM(AB110:AB120)</f>
        <v>0</v>
      </c>
      <c r="AC121" s="65">
        <f>SUM(AC110:AC120)-SUM(AC112:AC113)-AC115</f>
        <v>3800000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3800000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3800000</v>
      </c>
      <c r="AA123" s="64">
        <f t="shared" ref="AA123" si="15">AA121+AA122</f>
        <v>0</v>
      </c>
      <c r="AB123" s="64">
        <f>AB121+AB122</f>
        <v>0</v>
      </c>
      <c r="AC123" s="65">
        <f>AC121+AC122</f>
        <v>3800000</v>
      </c>
    </row>
    <row r="124" spans="1:30" ht="15" customHeight="1">
      <c r="B124" s="68" t="s">
        <v>75</v>
      </c>
      <c r="C124" s="64">
        <f>C107+C123</f>
        <v>20045320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20045320</v>
      </c>
      <c r="AA124" s="64">
        <f t="shared" ref="AA124:AB124" si="16">AA107+AA123</f>
        <v>0</v>
      </c>
      <c r="AB124" s="64">
        <f t="shared" si="16"/>
        <v>0</v>
      </c>
      <c r="AC124" s="65">
        <f>AC107+AC123</f>
        <v>20045320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6127655.8899999997</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6127655.8899999997</v>
      </c>
      <c r="AA126" s="64"/>
      <c r="AB126" s="64"/>
      <c r="AC126" s="65">
        <f>SUM(AC127:AC130)</f>
        <v>6127655.8899999997</v>
      </c>
      <c r="AD126" s="119"/>
    </row>
    <row r="127" spans="1:30" ht="15" customHeight="1">
      <c r="A127" s="118" t="s">
        <v>698</v>
      </c>
      <c r="B127" s="54" t="s">
        <v>478</v>
      </c>
      <c r="C127" s="57">
        <f>[4]利润表!$D$5</f>
        <v>6127655.8899999997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6127655.8899999997</v>
      </c>
      <c r="AA127" s="58">
        <f>SUMIF('调整分录-上期'!$D:$D,$A127,'调整分录-上期'!F:F)</f>
        <v>0</v>
      </c>
      <c r="AB127" s="58">
        <f>SUMIF('调整分录-上期'!$D:$D,$A127,'调整分录-上期'!G:G)</f>
        <v>0</v>
      </c>
      <c r="AC127" s="59">
        <f>Z127+AB127-AA127</f>
        <v>6127655.8899999997</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5088888.8899999997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5088888.8899999997</v>
      </c>
      <c r="AA131" s="64"/>
      <c r="AB131" s="64"/>
      <c r="AC131" s="65">
        <f>SUM(AC132:AC146)-SUM(AC145:AC146)</f>
        <v>5088888.8899999997</v>
      </c>
    </row>
    <row r="132" spans="1:30" ht="15" customHeight="1">
      <c r="A132" s="118" t="s">
        <v>699</v>
      </c>
      <c r="B132" s="54" t="s">
        <v>479</v>
      </c>
      <c r="C132" s="70">
        <f>[4]利润表!$D$6</f>
        <v>4000000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4000000</v>
      </c>
      <c r="AA132" s="58">
        <f>SUMIF('调整分录-上期'!$D:$D,$A132,'调整分录-上期'!F:F)</f>
        <v>0</v>
      </c>
      <c r="AB132" s="58">
        <f>SUMIF('调整分录-上期'!$D:$D,$A132,'调整分录-上期'!G:G)</f>
        <v>0</v>
      </c>
      <c r="AC132" s="71">
        <f t="shared" ref="AC132:AC146" si="18">Z132+AA132-AB132</f>
        <v>4000000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688888.88999999966</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688888.88999999966</v>
      </c>
      <c r="AA140" s="58">
        <f>SUMIF('调整分录-上期'!$D:$D,$A140,'调整分录-上期'!F:F)</f>
        <v>0</v>
      </c>
      <c r="AB140" s="58">
        <f>SUMIF('调整分录-上期'!$D:$D,$A140,'调整分录-上期'!G:G)</f>
        <v>0</v>
      </c>
      <c r="AC140" s="71">
        <f t="shared" si="18"/>
        <v>688888.88999999966</v>
      </c>
    </row>
    <row r="141" spans="1:30" ht="15" customHeight="1">
      <c r="A141" s="118" t="s">
        <v>186</v>
      </c>
      <c r="B141" s="54" t="s">
        <v>105</v>
      </c>
      <c r="C141" s="57">
        <f>[4]利润表!$D$8</f>
        <v>100000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100000</v>
      </c>
      <c r="AA141" s="58">
        <f>SUMIF('调整分录-上期'!$D:$D,$A141,'调整分录-上期'!F:F)</f>
        <v>0</v>
      </c>
      <c r="AB141" s="58">
        <f>SUMIF('调整分录-上期'!$D:$D,$A141,'调整分录-上期'!G:G)</f>
        <v>0</v>
      </c>
      <c r="AC141" s="71">
        <f t="shared" si="18"/>
        <v>100000</v>
      </c>
    </row>
    <row r="142" spans="1:30" ht="15" customHeight="1">
      <c r="A142" s="118" t="s">
        <v>187</v>
      </c>
      <c r="B142" s="54" t="s">
        <v>107</v>
      </c>
      <c r="C142" s="57">
        <f>[4]利润表!$D$9</f>
        <v>250000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250000</v>
      </c>
      <c r="AA142" s="58">
        <f>SUMIF('调整分录-上期'!$D:$D,$A142,'调整分录-上期'!F:F)</f>
        <v>0</v>
      </c>
      <c r="AB142" s="58">
        <f>SUMIF('调整分录-上期'!$D:$D,$A142,'调整分录-上期'!G:G)</f>
        <v>0</v>
      </c>
      <c r="AC142" s="71">
        <f t="shared" si="18"/>
        <v>250000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50000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50000</v>
      </c>
      <c r="AA144" s="58">
        <f>SUMIF('调整分录-上期'!$D:$D,$A144,'调整分录-上期'!F:F)</f>
        <v>0</v>
      </c>
      <c r="AB144" s="58">
        <f>SUMIF('调整分录-上期'!$D:$D,$A144,'调整分录-上期'!G:G)</f>
        <v>0</v>
      </c>
      <c r="AC144" s="71">
        <f t="shared" si="18"/>
        <v>50000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1038767</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1038767</v>
      </c>
      <c r="AA156" s="64"/>
      <c r="AB156" s="64"/>
      <c r="AC156" s="65">
        <f>AC126-AC131+SUM(AC147:AC155)-AC149</f>
        <v>1038767</v>
      </c>
    </row>
    <row r="157" spans="1:31" ht="15" customHeight="1">
      <c r="A157" s="118" t="s">
        <v>692</v>
      </c>
      <c r="B157" s="54" t="s">
        <v>114</v>
      </c>
      <c r="C157" s="57">
        <f>[4]利润表!$D$16</f>
        <v>33333</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33333</v>
      </c>
      <c r="AA157" s="58">
        <f>SUMIF('调整分录-上期'!$D:$D,$A157,'调整分录-上期'!F:F)</f>
        <v>0</v>
      </c>
      <c r="AB157" s="58">
        <f>SUMIF('调整分录-上期'!$D:$D,$A157,'调整分录-上期'!G:G)</f>
        <v>0</v>
      </c>
      <c r="AC157" s="59">
        <f>Z157+AB157-AA157</f>
        <v>33333</v>
      </c>
    </row>
    <row r="158" spans="1:31" ht="15" customHeight="1">
      <c r="A158" s="118" t="s">
        <v>693</v>
      </c>
      <c r="B158" s="54" t="s">
        <v>115</v>
      </c>
      <c r="C158" s="57">
        <f>[4]利润表!$D$17</f>
        <v>22100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22100</v>
      </c>
      <c r="AA158" s="58">
        <f>SUMIF('调整分录-上期'!$D:$D,$A158,'调整分录-上期'!F:F)</f>
        <v>0</v>
      </c>
      <c r="AB158" s="58">
        <f>SUMIF('调整分录-上期'!$D:$D,$A158,'调整分录-上期'!G:G)</f>
        <v>0</v>
      </c>
      <c r="AC158" s="59">
        <f>Z158+AA158-AB158</f>
        <v>22100</v>
      </c>
    </row>
    <row r="159" spans="1:31" ht="15" customHeight="1">
      <c r="B159" s="60" t="s">
        <v>116</v>
      </c>
      <c r="C159" s="64">
        <f>C156+C157-C158</f>
        <v>1050000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1050000</v>
      </c>
      <c r="AA159" s="64"/>
      <c r="AB159" s="64"/>
      <c r="AC159" s="65">
        <f>AC156+AC157-AC158</f>
        <v>1050000</v>
      </c>
    </row>
    <row r="160" spans="1:31" ht="15" customHeight="1">
      <c r="A160" s="118" t="s">
        <v>695</v>
      </c>
      <c r="B160" s="54" t="s">
        <v>117</v>
      </c>
      <c r="C160" s="57">
        <f>[4]利润表!$D$20</f>
        <v>250000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250000</v>
      </c>
      <c r="AA160" s="58">
        <f>SUMIF('调整分录-上期'!$D:$D,$A160,'调整分录-上期'!F:F)</f>
        <v>0</v>
      </c>
      <c r="AB160" s="58">
        <f>SUMIF('调整分录-上期'!$D:$D,$A160,'调整分录-上期'!G:G)</f>
        <v>0</v>
      </c>
      <c r="AC160" s="59">
        <f>Z160+AA160-AB160</f>
        <v>250000</v>
      </c>
    </row>
    <row r="161" spans="1:31" ht="15" customHeight="1">
      <c r="B161" s="60" t="s">
        <v>118</v>
      </c>
      <c r="C161" s="64">
        <f t="shared" ref="C161" si="22">C159-C160</f>
        <v>800000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800000</v>
      </c>
      <c r="AA161" s="64">
        <f>SUM(AA127:AA160)</f>
        <v>0</v>
      </c>
      <c r="AB161" s="64">
        <f>SUM(AB127:AB160)</f>
        <v>0</v>
      </c>
      <c r="AC161" s="65">
        <f t="shared" ref="AC161" si="23">AC159-AC160</f>
        <v>800000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800000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800000</v>
      </c>
      <c r="AA163" s="62"/>
      <c r="AB163" s="62"/>
      <c r="AC163" s="65">
        <f>AC161-AC164</f>
        <v>800000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800000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800000</v>
      </c>
      <c r="AA166" s="62"/>
      <c r="AB166" s="62"/>
      <c r="AC166" s="65">
        <f>AC161-AC167</f>
        <v>800000</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200000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200000</v>
      </c>
      <c r="AA168" s="58">
        <f>SUMIF('调整分录-上期'!$D:$D,$A168,'调整分录-上期'!F:F)</f>
        <v>0</v>
      </c>
      <c r="AB168" s="58">
        <f>SUMIF('调整分录-上期'!$D:$D,$A168,'调整分录-上期'!G:G)</f>
        <v>0</v>
      </c>
      <c r="AC168" s="71">
        <f>Z168+AB168-AA168</f>
        <v>200000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1000000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1000000</v>
      </c>
      <c r="AA171" s="64"/>
      <c r="AB171" s="64"/>
      <c r="AC171" s="65">
        <f>AC166+AC168+AC169</f>
        <v>1000000</v>
      </c>
    </row>
    <row r="172" spans="1:31" ht="15" customHeight="1">
      <c r="A172" s="118" t="s">
        <v>689</v>
      </c>
      <c r="B172" s="73" t="s">
        <v>81</v>
      </c>
      <c r="C172" s="57">
        <f>[4]利润表!$G$27</f>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0</v>
      </c>
      <c r="AA172" s="58">
        <f>SUMIF('调整分录-上期'!$D:$D,$A172,'调整分录-上期'!F:F)</f>
        <v>0</v>
      </c>
      <c r="AB172" s="58">
        <f>SUMIF('调整分录-上期'!$D:$D,$A172,'调整分录-上期'!G:G)</f>
        <v>0</v>
      </c>
      <c r="AC172" s="59">
        <f>Z172+AA172-AB172</f>
        <v>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1000000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1000000</v>
      </c>
      <c r="AA179" s="64"/>
      <c r="AB179" s="64"/>
      <c r="AC179" s="65">
        <f>AC171-SUM(AC172:AC178)</f>
        <v>1000000</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200000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200000</v>
      </c>
      <c r="AA182" s="95">
        <f>SUMIF('调整分录-上期'!$D:$D,$A182,'调整分录-上期'!F:F)</f>
        <v>0</v>
      </c>
      <c r="AB182" s="95">
        <f>SUMIF('调整分录-上期'!$D:$D,$A182,'调整分录-上期'!G:G)</f>
        <v>0</v>
      </c>
      <c r="AC182" s="96">
        <f t="shared" si="27"/>
        <v>200000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800000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800000</v>
      </c>
      <c r="AA187" s="76">
        <f>AA161+SUM(AA167:AA185)+SUMIF('调整分录-上期'!$D:$D,$A187,'调整分录-上期'!F:F)</f>
        <v>0</v>
      </c>
      <c r="AB187" s="76">
        <f>AB161+SUM(AB167:AB185)+SUMIF('调整分录-上期'!$D:$D,$A187,'调整分录-上期'!G:G)</f>
        <v>0</v>
      </c>
      <c r="AC187" s="77">
        <f>AC179-SUM(AC180:AC186)</f>
        <v>800000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161" activePane="bottomRight" state="frozen"/>
      <selection activeCell="A133" sqref="A133:XFD139"/>
      <selection pane="topRight" activeCell="A133" sqref="A133:XFD139"/>
      <selection pane="bottomLeft" activeCell="A133" sqref="A133:XFD139"/>
      <selection pane="bottomRight" activeCell="AE3" sqref="AE3"/>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9000000</v>
      </c>
      <c r="D7" s="57"/>
      <c r="E7" s="57"/>
      <c r="F7" s="57"/>
      <c r="G7" s="57"/>
      <c r="H7" s="57"/>
      <c r="I7" s="57"/>
      <c r="J7" s="57"/>
      <c r="K7" s="57"/>
      <c r="L7" s="57"/>
      <c r="M7" s="57"/>
      <c r="N7" s="57"/>
      <c r="O7" s="57"/>
      <c r="P7" s="57"/>
      <c r="Q7" s="57"/>
      <c r="R7" s="57"/>
      <c r="S7" s="57"/>
      <c r="T7" s="57"/>
      <c r="U7" s="57"/>
      <c r="V7" s="57"/>
      <c r="W7" s="57"/>
      <c r="X7" s="57"/>
      <c r="Y7" s="57"/>
      <c r="Z7" s="57">
        <f t="shared" ref="Z7:Z38" si="0">SUM(C7:Y7)</f>
        <v>9000000</v>
      </c>
      <c r="AA7" s="58">
        <f>SUMIF('调整分录-本期'!$D:$D,$A7,'调整分录-本期'!F:F)</f>
        <v>0</v>
      </c>
      <c r="AB7" s="58">
        <f>SUMIF('调整分录-本期'!$D:$D,$A7,'调整分录-本期'!G:G)</f>
        <v>0</v>
      </c>
      <c r="AC7" s="59">
        <f>Z7+AA7-AB7</f>
        <v>9000000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3000000</v>
      </c>
      <c r="D13" s="57"/>
      <c r="E13" s="57"/>
      <c r="F13" s="57"/>
      <c r="G13" s="57"/>
      <c r="H13" s="57"/>
      <c r="I13" s="57"/>
      <c r="J13" s="57"/>
      <c r="K13" s="57"/>
      <c r="L13" s="57"/>
      <c r="M13" s="57"/>
      <c r="N13" s="57"/>
      <c r="O13" s="57"/>
      <c r="P13" s="57"/>
      <c r="Q13" s="57"/>
      <c r="R13" s="57"/>
      <c r="S13" s="57"/>
      <c r="T13" s="57"/>
      <c r="U13" s="57"/>
      <c r="V13" s="57"/>
      <c r="W13" s="57"/>
      <c r="X13" s="57"/>
      <c r="Y13" s="57"/>
      <c r="Z13" s="57">
        <f t="shared" si="0"/>
        <v>3000000</v>
      </c>
      <c r="AA13" s="58">
        <f>SUMIF('调整分录-本期'!$D:$D,$A13,'调整分录-本期'!F:F)</f>
        <v>0</v>
      </c>
      <c r="AB13" s="58">
        <f>SUMIF('调整分录-本期'!$D:$D,$A13,'调整分录-本期'!G:G)</f>
        <v>0</v>
      </c>
      <c r="AC13" s="59">
        <f t="shared" si="1"/>
        <v>3000000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3000000</v>
      </c>
      <c r="D15" s="61"/>
      <c r="E15" s="61"/>
      <c r="F15" s="61"/>
      <c r="G15" s="61"/>
      <c r="H15" s="61"/>
      <c r="I15" s="61"/>
      <c r="J15" s="61"/>
      <c r="K15" s="61"/>
      <c r="L15" s="61"/>
      <c r="M15" s="61"/>
      <c r="N15" s="61"/>
      <c r="O15" s="61"/>
      <c r="P15" s="61"/>
      <c r="Q15" s="61"/>
      <c r="R15" s="61"/>
      <c r="S15" s="61"/>
      <c r="T15" s="61"/>
      <c r="U15" s="61"/>
      <c r="V15" s="61"/>
      <c r="W15" s="61"/>
      <c r="X15" s="61"/>
      <c r="Y15" s="61"/>
      <c r="Z15" s="61">
        <f t="shared" si="0"/>
        <v>3000000</v>
      </c>
      <c r="AA15" s="62"/>
      <c r="AB15" s="62"/>
      <c r="AC15" s="63">
        <f>AC13-AC14</f>
        <v>3000000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2162000</v>
      </c>
      <c r="D17" s="57"/>
      <c r="E17" s="57"/>
      <c r="F17" s="57"/>
      <c r="G17" s="57"/>
      <c r="H17" s="57"/>
      <c r="I17" s="57"/>
      <c r="J17" s="57"/>
      <c r="K17" s="57"/>
      <c r="L17" s="57"/>
      <c r="M17" s="57"/>
      <c r="N17" s="57"/>
      <c r="O17" s="57"/>
      <c r="P17" s="57"/>
      <c r="Q17" s="57"/>
      <c r="R17" s="57"/>
      <c r="S17" s="57"/>
      <c r="T17" s="57"/>
      <c r="U17" s="57"/>
      <c r="V17" s="57"/>
      <c r="W17" s="57"/>
      <c r="X17" s="57"/>
      <c r="Y17" s="57"/>
      <c r="Z17" s="94">
        <f t="shared" si="0"/>
        <v>2162000</v>
      </c>
      <c r="AA17" s="58">
        <f>SUMIF('调整分录-本期'!$D:$D,$A17,'调整分录-本期'!F:F)</f>
        <v>0</v>
      </c>
      <c r="AB17" s="58">
        <f>SUMIF('调整分录-本期'!$D:$D,$A17,'调整分录-本期'!G:G)</f>
        <v>0</v>
      </c>
      <c r="AC17" s="59">
        <f t="shared" ref="AC17:AC67" si="2">Z17+AA17-AB17</f>
        <v>2162000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1000000</v>
      </c>
      <c r="D21" s="57"/>
      <c r="E21" s="57"/>
      <c r="F21" s="57"/>
      <c r="G21" s="57"/>
      <c r="H21" s="57"/>
      <c r="I21" s="57"/>
      <c r="J21" s="57"/>
      <c r="K21" s="57"/>
      <c r="L21" s="57"/>
      <c r="M21" s="57"/>
      <c r="N21" s="57"/>
      <c r="O21" s="57"/>
      <c r="P21" s="57"/>
      <c r="Q21" s="57"/>
      <c r="R21" s="57"/>
      <c r="S21" s="57"/>
      <c r="T21" s="57"/>
      <c r="U21" s="57"/>
      <c r="V21" s="57"/>
      <c r="W21" s="57"/>
      <c r="X21" s="57"/>
      <c r="Y21" s="57"/>
      <c r="Z21" s="94">
        <f t="shared" si="0"/>
        <v>1000000</v>
      </c>
      <c r="AA21" s="58">
        <f>SUMIF('调整分录-本期'!$D:$D,$A21,'调整分录-本期'!F:F)</f>
        <v>0</v>
      </c>
      <c r="AB21" s="58">
        <f>SUMIF('调整分录-本期'!$D:$D,$A21,'调整分录-本期'!G:G)</f>
        <v>0</v>
      </c>
      <c r="AC21" s="59">
        <f t="shared" si="2"/>
        <v>1000000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1000000</v>
      </c>
      <c r="D23" s="64"/>
      <c r="E23" s="64"/>
      <c r="F23" s="64"/>
      <c r="G23" s="64"/>
      <c r="H23" s="64"/>
      <c r="I23" s="64"/>
      <c r="J23" s="64"/>
      <c r="K23" s="64"/>
      <c r="L23" s="64"/>
      <c r="M23" s="64"/>
      <c r="N23" s="64"/>
      <c r="O23" s="64"/>
      <c r="P23" s="64"/>
      <c r="Q23" s="64"/>
      <c r="R23" s="64"/>
      <c r="S23" s="64"/>
      <c r="T23" s="64"/>
      <c r="U23" s="64"/>
      <c r="V23" s="64"/>
      <c r="W23" s="64"/>
      <c r="X23" s="64"/>
      <c r="Y23" s="64"/>
      <c r="Z23" s="61">
        <f t="shared" si="0"/>
        <v>1000000</v>
      </c>
      <c r="AA23" s="64"/>
      <c r="AB23" s="64"/>
      <c r="AC23" s="65">
        <f>AC21-AC22</f>
        <v>1000000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777777</v>
      </c>
      <c r="D25" s="57"/>
      <c r="E25" s="57"/>
      <c r="F25" s="57"/>
      <c r="G25" s="57"/>
      <c r="H25" s="57"/>
      <c r="I25" s="57"/>
      <c r="J25" s="57"/>
      <c r="K25" s="57"/>
      <c r="L25" s="57"/>
      <c r="M25" s="57"/>
      <c r="N25" s="57"/>
      <c r="O25" s="57"/>
      <c r="P25" s="57"/>
      <c r="Q25" s="57"/>
      <c r="R25" s="57"/>
      <c r="S25" s="57"/>
      <c r="T25" s="57"/>
      <c r="U25" s="57"/>
      <c r="V25" s="57"/>
      <c r="W25" s="57"/>
      <c r="X25" s="57"/>
      <c r="Y25" s="57"/>
      <c r="Z25" s="57">
        <f t="shared" si="0"/>
        <v>777777</v>
      </c>
      <c r="AA25" s="58">
        <f>SUMIF('调整分录-本期'!$D:$D,$A25,'调整分录-本期'!F:F)</f>
        <v>0</v>
      </c>
      <c r="AB25" s="58">
        <f>SUMIF('调整分录-本期'!$D:$D,$A25,'调整分录-本期'!G:G)</f>
        <v>0</v>
      </c>
      <c r="AC25" s="59">
        <f t="shared" si="2"/>
        <v>777777</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777777</v>
      </c>
      <c r="D27" s="64"/>
      <c r="E27" s="64"/>
      <c r="F27" s="64"/>
      <c r="G27" s="64"/>
      <c r="H27" s="64"/>
      <c r="I27" s="64"/>
      <c r="J27" s="64"/>
      <c r="K27" s="64"/>
      <c r="L27" s="64"/>
      <c r="M27" s="64"/>
      <c r="N27" s="64"/>
      <c r="O27" s="64"/>
      <c r="P27" s="64"/>
      <c r="Q27" s="64"/>
      <c r="R27" s="64"/>
      <c r="S27" s="64"/>
      <c r="T27" s="64"/>
      <c r="U27" s="64"/>
      <c r="V27" s="64"/>
      <c r="W27" s="64"/>
      <c r="X27" s="64"/>
      <c r="Y27" s="64"/>
      <c r="Z27" s="61">
        <f t="shared" si="0"/>
        <v>777777</v>
      </c>
      <c r="AA27" s="64"/>
      <c r="AB27" s="64"/>
      <c r="AC27" s="65">
        <f>AC25-AC26</f>
        <v>777777</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15939777</v>
      </c>
      <c r="D32" s="64"/>
      <c r="E32" s="64"/>
      <c r="F32" s="64"/>
      <c r="G32" s="64"/>
      <c r="H32" s="64"/>
      <c r="I32" s="64"/>
      <c r="J32" s="64"/>
      <c r="K32" s="64"/>
      <c r="L32" s="64"/>
      <c r="M32" s="64"/>
      <c r="N32" s="64"/>
      <c r="O32" s="64"/>
      <c r="P32" s="64"/>
      <c r="Q32" s="64"/>
      <c r="R32" s="64"/>
      <c r="S32" s="64"/>
      <c r="T32" s="64"/>
      <c r="U32" s="64"/>
      <c r="V32" s="64"/>
      <c r="W32" s="64"/>
      <c r="X32" s="64"/>
      <c r="Y32" s="64"/>
      <c r="Z32" s="61">
        <f t="shared" si="0"/>
        <v>15939777</v>
      </c>
      <c r="AA32" s="64">
        <f>SUM(AA7:AA31)</f>
        <v>0</v>
      </c>
      <c r="AB32" s="64">
        <f>SUM(AB7:AB31)</f>
        <v>0</v>
      </c>
      <c r="AC32" s="65">
        <f>SUM(AC7:AC31)-SUM(AC13:AC14)-SUM(AC21:AC22)-SUM(AC25:AC26)</f>
        <v>15939777</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700000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700000</v>
      </c>
      <c r="AA41" s="58">
        <f>SUMIF('调整分录-本期'!$D:$D,$A41,'调整分录-本期'!F:F)</f>
        <v>0</v>
      </c>
      <c r="AB41" s="58">
        <f>SUMIF('调整分录-本期'!$D:$D,$A41,'调整分录-本期'!G:G)</f>
        <v>0</v>
      </c>
      <c r="AC41" s="59">
        <f t="shared" si="2"/>
        <v>700000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2000000</v>
      </c>
      <c r="D47" s="57"/>
      <c r="E47" s="57"/>
      <c r="F47" s="57"/>
      <c r="G47" s="57"/>
      <c r="H47" s="57"/>
      <c r="I47" s="57"/>
      <c r="J47" s="57"/>
      <c r="K47" s="57"/>
      <c r="L47" s="57"/>
      <c r="M47" s="57"/>
      <c r="N47" s="57"/>
      <c r="O47" s="57"/>
      <c r="P47" s="57"/>
      <c r="Q47" s="57"/>
      <c r="R47" s="57"/>
      <c r="S47" s="57"/>
      <c r="T47" s="57"/>
      <c r="U47" s="57"/>
      <c r="V47" s="57"/>
      <c r="W47" s="57"/>
      <c r="X47" s="57"/>
      <c r="Y47" s="57"/>
      <c r="Z47" s="57">
        <f t="shared" si="3"/>
        <v>2000000</v>
      </c>
      <c r="AA47" s="58">
        <f>SUMIF('调整分录-本期'!$D:$D,$A47,'调整分录-本期'!F:F)</f>
        <v>0</v>
      </c>
      <c r="AB47" s="58">
        <f>SUMIF('调整分录-本期'!$D:$D,$A47,'调整分录-本期'!G:G)</f>
        <v>0</v>
      </c>
      <c r="AC47" s="59">
        <f t="shared" si="2"/>
        <v>2000000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2000000</v>
      </c>
      <c r="D50" s="64"/>
      <c r="E50" s="64"/>
      <c r="F50" s="64"/>
      <c r="G50" s="64"/>
      <c r="H50" s="64"/>
      <c r="I50" s="64"/>
      <c r="J50" s="64"/>
      <c r="K50" s="64"/>
      <c r="L50" s="64"/>
      <c r="M50" s="64"/>
      <c r="N50" s="64"/>
      <c r="O50" s="64"/>
      <c r="P50" s="64"/>
      <c r="Q50" s="64"/>
      <c r="R50" s="64"/>
      <c r="S50" s="64"/>
      <c r="T50" s="64"/>
      <c r="U50" s="64"/>
      <c r="V50" s="64"/>
      <c r="W50" s="64"/>
      <c r="X50" s="64"/>
      <c r="Y50" s="64"/>
      <c r="Z50" s="61">
        <f t="shared" si="3"/>
        <v>2000000</v>
      </c>
      <c r="AA50" s="64"/>
      <c r="AB50" s="64"/>
      <c r="AC50" s="65">
        <f>AC47-AC48-AC49</f>
        <v>2000000</v>
      </c>
      <c r="AD50" s="152"/>
      <c r="AE50" s="119"/>
      <c r="AH50" s="131"/>
    </row>
    <row r="51" spans="1:34" ht="15" customHeight="1">
      <c r="A51" s="123" t="s">
        <v>144</v>
      </c>
      <c r="B51" s="54" t="s">
        <v>45</v>
      </c>
      <c r="C51" s="57">
        <f>[4]资产负债表!$C$26</f>
        <v>8228009</v>
      </c>
      <c r="D51" s="57"/>
      <c r="E51" s="57"/>
      <c r="F51" s="57"/>
      <c r="G51" s="57"/>
      <c r="H51" s="57"/>
      <c r="I51" s="57"/>
      <c r="J51" s="57"/>
      <c r="K51" s="57"/>
      <c r="L51" s="57"/>
      <c r="M51" s="57"/>
      <c r="N51" s="57"/>
      <c r="O51" s="57"/>
      <c r="P51" s="57"/>
      <c r="Q51" s="57"/>
      <c r="R51" s="57"/>
      <c r="S51" s="57"/>
      <c r="T51" s="57"/>
      <c r="U51" s="57"/>
      <c r="V51" s="57"/>
      <c r="W51" s="57"/>
      <c r="X51" s="57"/>
      <c r="Y51" s="57"/>
      <c r="Z51" s="57">
        <f t="shared" si="3"/>
        <v>8228009</v>
      </c>
      <c r="AA51" s="58">
        <f>SUMIF('调整分录-本期'!$D:$D,$A51,'调整分录-本期'!F:F)</f>
        <v>0</v>
      </c>
      <c r="AB51" s="58">
        <f>SUMIF('调整分录-本期'!$D:$D,$A51,'调整分录-本期'!G:G)</f>
        <v>0</v>
      </c>
      <c r="AC51" s="59">
        <f t="shared" si="2"/>
        <v>8228009</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8228009</v>
      </c>
      <c r="D53" s="64"/>
      <c r="E53" s="64"/>
      <c r="F53" s="64"/>
      <c r="G53" s="64"/>
      <c r="H53" s="64"/>
      <c r="I53" s="64"/>
      <c r="J53" s="64"/>
      <c r="K53" s="64"/>
      <c r="L53" s="64"/>
      <c r="M53" s="64"/>
      <c r="N53" s="64"/>
      <c r="O53" s="64"/>
      <c r="P53" s="64"/>
      <c r="Q53" s="64"/>
      <c r="R53" s="64"/>
      <c r="S53" s="64"/>
      <c r="T53" s="64"/>
      <c r="U53" s="64"/>
      <c r="V53" s="64"/>
      <c r="W53" s="64"/>
      <c r="X53" s="64"/>
      <c r="Y53" s="64"/>
      <c r="Z53" s="61">
        <f t="shared" si="3"/>
        <v>8228009</v>
      </c>
      <c r="AA53" s="64"/>
      <c r="AB53" s="64"/>
      <c r="AC53" s="65">
        <f>AC51-AC52</f>
        <v>8228009</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10928009</v>
      </c>
      <c r="D68" s="64"/>
      <c r="E68" s="64"/>
      <c r="F68" s="64"/>
      <c r="G68" s="64"/>
      <c r="H68" s="64"/>
      <c r="I68" s="64"/>
      <c r="J68" s="64"/>
      <c r="K68" s="64"/>
      <c r="L68" s="64"/>
      <c r="M68" s="64"/>
      <c r="N68" s="64"/>
      <c r="O68" s="64"/>
      <c r="P68" s="64"/>
      <c r="Q68" s="64"/>
      <c r="R68" s="64"/>
      <c r="S68" s="64"/>
      <c r="T68" s="64"/>
      <c r="U68" s="64"/>
      <c r="V68" s="64"/>
      <c r="W68" s="64"/>
      <c r="X68" s="64"/>
      <c r="Y68" s="64"/>
      <c r="Z68" s="61">
        <f t="shared" si="3"/>
        <v>10928009</v>
      </c>
      <c r="AA68" s="64">
        <f>SUM(AA34:AA67)</f>
        <v>0</v>
      </c>
      <c r="AB68" s="64">
        <f>SUM(AB34:AB67)</f>
        <v>0</v>
      </c>
      <c r="AC68" s="65">
        <f>SUM(AC34:AC67)-SUM(AC38:AC39)-SUM(AC43:AC45)-SUM(AC47:AC49)-SUM(AC51:AC52)-SUM(AC57:AC59)-SUM(AC62:AC63)</f>
        <v>10928009</v>
      </c>
      <c r="AD68" s="152"/>
      <c r="AE68" s="119"/>
      <c r="AH68" s="131"/>
    </row>
    <row r="69" spans="1:34" ht="15" customHeight="1">
      <c r="A69" s="123"/>
      <c r="B69" s="60" t="s">
        <v>74</v>
      </c>
      <c r="C69" s="64">
        <f>C32+C68</f>
        <v>26867786</v>
      </c>
      <c r="D69" s="64"/>
      <c r="E69" s="64"/>
      <c r="F69" s="64"/>
      <c r="G69" s="64"/>
      <c r="H69" s="64"/>
      <c r="I69" s="64"/>
      <c r="J69" s="64"/>
      <c r="K69" s="64"/>
      <c r="L69" s="64"/>
      <c r="M69" s="64"/>
      <c r="N69" s="64"/>
      <c r="O69" s="64"/>
      <c r="P69" s="64"/>
      <c r="Q69" s="64"/>
      <c r="R69" s="64"/>
      <c r="S69" s="64"/>
      <c r="T69" s="64"/>
      <c r="U69" s="64"/>
      <c r="V69" s="64"/>
      <c r="W69" s="64"/>
      <c r="X69" s="64"/>
      <c r="Y69" s="64"/>
      <c r="Z69" s="61">
        <f t="shared" si="3"/>
        <v>26867786</v>
      </c>
      <c r="AA69" s="64">
        <f>AA32+AA68</f>
        <v>0</v>
      </c>
      <c r="AB69" s="64">
        <f>AB32+AB68</f>
        <v>0</v>
      </c>
      <c r="AC69" s="65">
        <f>AC32+AC68</f>
        <v>26867786</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8245320</v>
      </c>
      <c r="D77" s="57"/>
      <c r="E77" s="57"/>
      <c r="F77" s="57"/>
      <c r="G77" s="57"/>
      <c r="H77" s="57"/>
      <c r="I77" s="57"/>
      <c r="J77" s="57"/>
      <c r="K77" s="57"/>
      <c r="L77" s="57"/>
      <c r="M77" s="57"/>
      <c r="N77" s="57"/>
      <c r="O77" s="57"/>
      <c r="P77" s="57"/>
      <c r="Q77" s="57"/>
      <c r="R77" s="57"/>
      <c r="S77" s="57"/>
      <c r="T77" s="57"/>
      <c r="U77" s="57"/>
      <c r="V77" s="57"/>
      <c r="W77" s="57"/>
      <c r="X77" s="57"/>
      <c r="Y77" s="57"/>
      <c r="Z77" s="57">
        <f t="shared" si="8"/>
        <v>8245320</v>
      </c>
      <c r="AA77" s="58">
        <f>SUMIF('调整分录-本期'!$D:$D,$A77,'调整分录-本期'!F:F)</f>
        <v>0</v>
      </c>
      <c r="AB77" s="58">
        <f>SUMIF('调整分录-本期'!$D:$D,$A77,'调整分录-本期'!G:G)</f>
        <v>0</v>
      </c>
      <c r="AC77" s="59">
        <f t="shared" si="9"/>
        <v>8245320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4000000</v>
      </c>
      <c r="D84" s="57"/>
      <c r="E84" s="57"/>
      <c r="F84" s="57"/>
      <c r="G84" s="57"/>
      <c r="H84" s="57"/>
      <c r="I84" s="57"/>
      <c r="J84" s="57"/>
      <c r="K84" s="57"/>
      <c r="L84" s="57"/>
      <c r="M84" s="57"/>
      <c r="N84" s="57"/>
      <c r="O84" s="57"/>
      <c r="P84" s="57"/>
      <c r="Q84" s="57"/>
      <c r="R84" s="57"/>
      <c r="S84" s="57"/>
      <c r="T84" s="57"/>
      <c r="U84" s="57"/>
      <c r="V84" s="57"/>
      <c r="W84" s="57"/>
      <c r="X84" s="57"/>
      <c r="Y84" s="57"/>
      <c r="Z84" s="57">
        <f t="shared" si="8"/>
        <v>4000000</v>
      </c>
      <c r="AA84" s="58">
        <f>SUMIF('调整分录-本期'!$D:$D,$A84,'调整分录-本期'!F:F)</f>
        <v>0</v>
      </c>
      <c r="AB84" s="58">
        <f>SUMIF('调整分录-本期'!$D:$D,$A84,'调整分录-本期'!G:G)</f>
        <v>0</v>
      </c>
      <c r="AC84" s="59">
        <f t="shared" si="9"/>
        <v>4000000</v>
      </c>
      <c r="AD84" s="152"/>
      <c r="AE84" s="119"/>
      <c r="AH84" s="131"/>
    </row>
    <row r="85" spans="1:34" ht="15" customHeight="1">
      <c r="A85" s="123" t="s">
        <v>156</v>
      </c>
      <c r="B85" s="54" t="s">
        <v>8</v>
      </c>
      <c r="C85" s="57">
        <f>[4]资产负债表!$G$12</f>
        <v>1000000</v>
      </c>
      <c r="D85" s="57"/>
      <c r="E85" s="57"/>
      <c r="F85" s="57"/>
      <c r="G85" s="57"/>
      <c r="H85" s="57"/>
      <c r="I85" s="57"/>
      <c r="J85" s="57"/>
      <c r="K85" s="57"/>
      <c r="L85" s="57"/>
      <c r="M85" s="57"/>
      <c r="N85" s="57"/>
      <c r="O85" s="57"/>
      <c r="P85" s="57"/>
      <c r="Q85" s="57"/>
      <c r="R85" s="57"/>
      <c r="S85" s="57"/>
      <c r="T85" s="57"/>
      <c r="U85" s="57"/>
      <c r="V85" s="57"/>
      <c r="W85" s="57"/>
      <c r="X85" s="57"/>
      <c r="Y85" s="57"/>
      <c r="Z85" s="57">
        <f t="shared" si="8"/>
        <v>1000000</v>
      </c>
      <c r="AA85" s="58">
        <f>SUMIF('调整分录-本期'!$D:$D,$A85,'调整分录-本期'!F:F)</f>
        <v>0</v>
      </c>
      <c r="AB85" s="58">
        <f>SUMIF('调整分录-本期'!$D:$D,$A85,'调整分录-本期'!G:G)</f>
        <v>0</v>
      </c>
      <c r="AC85" s="59">
        <f t="shared" si="9"/>
        <v>1000000</v>
      </c>
      <c r="AD85" s="152"/>
      <c r="AE85" s="119"/>
      <c r="AH85" s="131"/>
    </row>
    <row r="86" spans="1:34" ht="15" customHeight="1">
      <c r="A86" s="123" t="s">
        <v>157</v>
      </c>
      <c r="B86" s="54" t="s">
        <v>10</v>
      </c>
      <c r="C86" s="57">
        <f>[4]资产负债表!$G$15</f>
        <v>3000000</v>
      </c>
      <c r="D86" s="57"/>
      <c r="E86" s="57"/>
      <c r="F86" s="57"/>
      <c r="G86" s="57"/>
      <c r="H86" s="57"/>
      <c r="I86" s="57"/>
      <c r="J86" s="57"/>
      <c r="K86" s="57"/>
      <c r="L86" s="57"/>
      <c r="M86" s="57"/>
      <c r="N86" s="57"/>
      <c r="O86" s="57"/>
      <c r="P86" s="57"/>
      <c r="Q86" s="57"/>
      <c r="R86" s="57"/>
      <c r="S86" s="57"/>
      <c r="T86" s="57"/>
      <c r="U86" s="57"/>
      <c r="V86" s="57"/>
      <c r="W86" s="57"/>
      <c r="X86" s="57"/>
      <c r="Y86" s="57"/>
      <c r="Z86" s="57">
        <f t="shared" si="8"/>
        <v>3000000</v>
      </c>
      <c r="AA86" s="58">
        <f>SUMIF('调整分录-本期'!$D:$D,$A86,'调整分录-本期'!F:F)</f>
        <v>0</v>
      </c>
      <c r="AB86" s="58">
        <f>SUMIF('调整分录-本期'!$D:$D,$A86,'调整分录-本期'!G:G)</f>
        <v>0</v>
      </c>
      <c r="AC86" s="59">
        <f t="shared" si="9"/>
        <v>3000000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16245320</v>
      </c>
      <c r="D92" s="64"/>
      <c r="E92" s="64"/>
      <c r="F92" s="64"/>
      <c r="G92" s="64"/>
      <c r="H92" s="64"/>
      <c r="I92" s="64"/>
      <c r="J92" s="64"/>
      <c r="K92" s="64"/>
      <c r="L92" s="64"/>
      <c r="M92" s="64"/>
      <c r="N92" s="64"/>
      <c r="O92" s="64"/>
      <c r="P92" s="64"/>
      <c r="Q92" s="64"/>
      <c r="R92" s="64"/>
      <c r="S92" s="64"/>
      <c r="T92" s="64"/>
      <c r="U92" s="64"/>
      <c r="V92" s="64"/>
      <c r="W92" s="64"/>
      <c r="X92" s="64"/>
      <c r="Y92" s="64"/>
      <c r="Z92" s="61">
        <f t="shared" si="8"/>
        <v>16245320</v>
      </c>
      <c r="AA92" s="64">
        <f>SUM(AA71:AA91)</f>
        <v>0</v>
      </c>
      <c r="AB92" s="64">
        <f>SUM(AB71:AB91)</f>
        <v>0</v>
      </c>
      <c r="AC92" s="65">
        <f>SUM(AC71:AC91)</f>
        <v>16245320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16245320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16245320</v>
      </c>
      <c r="AA107" s="66">
        <f>AA92+AA106</f>
        <v>0</v>
      </c>
      <c r="AB107" s="66">
        <f>AB92+AB106</f>
        <v>0</v>
      </c>
      <c r="AC107" s="67">
        <f>AC92+AC106</f>
        <v>16245320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2000000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2000000</v>
      </c>
      <c r="AA110" s="58">
        <f>SUMIF('调整分录-本期'!$D:$D,$A110,'调整分录-本期'!F:F)</f>
        <v>0</v>
      </c>
      <c r="AB110" s="58">
        <f>SUMIF('调整分录-本期'!$D:$D,$A110,'调整分录-本期'!G:G)</f>
        <v>0</v>
      </c>
      <c r="AC110" s="59">
        <f t="shared" si="9"/>
        <v>2000000</v>
      </c>
      <c r="AD110" s="152"/>
      <c r="AE110" s="119"/>
      <c r="AH110" s="131"/>
    </row>
    <row r="111" spans="1:34" ht="15" customHeight="1">
      <c r="A111" s="118" t="s">
        <v>167</v>
      </c>
      <c r="B111" s="54" t="s">
        <v>51</v>
      </c>
      <c r="C111" s="57">
        <f>[4]资产负债表!$G$32</f>
        <v>1000000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1000000</v>
      </c>
      <c r="AA111" s="58">
        <f>SUMIF('调整分录-本期'!$D:$D,$A111,'调整分录-本期'!F:F)</f>
        <v>0</v>
      </c>
      <c r="AB111" s="58">
        <f>SUMIF('调整分录-本期'!$D:$D,$A111,'调整分录-本期'!G:G)</f>
        <v>0</v>
      </c>
      <c r="AC111" s="59">
        <f t="shared" si="9"/>
        <v>1000000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682246.60000000009</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682246.60000000009</v>
      </c>
      <c r="AA118" s="58">
        <f>SUMIF('调整分录-本期'!$D:$D,$A118,'调整分录-本期'!F:F)</f>
        <v>0</v>
      </c>
      <c r="AB118" s="58">
        <f>SUMIF('调整分录-本期'!$D:$D,$A118,'调整分录-本期'!G:G)</f>
        <v>0</v>
      </c>
      <c r="AC118" s="59">
        <f t="shared" si="9"/>
        <v>682246.60000000009</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6940219.4000000004</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6940219.4000000004</v>
      </c>
      <c r="AA120" s="58">
        <f>AA187</f>
        <v>0</v>
      </c>
      <c r="AB120" s="58">
        <f>AB187</f>
        <v>0</v>
      </c>
      <c r="AC120" s="59">
        <f t="shared" si="9"/>
        <v>6940219.4000000004</v>
      </c>
      <c r="AD120" s="152"/>
      <c r="AE120" s="119"/>
      <c r="AH120" s="131"/>
    </row>
    <row r="121" spans="1:34" ht="15" customHeight="1">
      <c r="B121" s="60" t="s">
        <v>69</v>
      </c>
      <c r="C121" s="64">
        <f>SUM(C110:C120)-SUM(C112:C113)-2*C115</f>
        <v>10622466</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10622466</v>
      </c>
      <c r="AA121" s="64">
        <f>SUM(AA110:AA120)</f>
        <v>0</v>
      </c>
      <c r="AB121" s="64">
        <f>SUM(AB110:AB120)</f>
        <v>0</v>
      </c>
      <c r="AC121" s="65">
        <f>SUM(AC110:AC120)-SUM(AC112:AC113)-2*AC115</f>
        <v>10622466</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10622466</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10622466</v>
      </c>
      <c r="AA123" s="64">
        <f t="shared" ref="AA123:AB123" si="11">AA121+AA122</f>
        <v>0</v>
      </c>
      <c r="AB123" s="64">
        <f t="shared" si="11"/>
        <v>0</v>
      </c>
      <c r="AC123" s="65">
        <f>AC121+AC122</f>
        <v>10622466</v>
      </c>
      <c r="AD123" s="152"/>
      <c r="AE123" s="119"/>
      <c r="AH123" s="131"/>
    </row>
    <row r="124" spans="1:34" ht="15" customHeight="1">
      <c r="B124" s="68" t="s">
        <v>75</v>
      </c>
      <c r="C124" s="64">
        <f>C107+C123</f>
        <v>26867786</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26867786</v>
      </c>
      <c r="AA124" s="64">
        <f t="shared" ref="AA124:AB124" si="12">AA107+AA123</f>
        <v>0</v>
      </c>
      <c r="AB124" s="64">
        <f t="shared" si="12"/>
        <v>0</v>
      </c>
      <c r="AC124" s="65">
        <f>AC107+AC123</f>
        <v>26867786</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18000000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18000000</v>
      </c>
      <c r="AA126" s="64"/>
      <c r="AB126" s="64"/>
      <c r="AC126" s="65">
        <f>SUM(AC127:AC130)</f>
        <v>18000000</v>
      </c>
      <c r="AD126" s="152"/>
      <c r="AE126" s="119"/>
      <c r="AH126" s="131"/>
    </row>
    <row r="127" spans="1:34" ht="15" customHeight="1">
      <c r="A127" s="118" t="s">
        <v>481</v>
      </c>
      <c r="B127" s="54" t="s">
        <v>478</v>
      </c>
      <c r="C127" s="57">
        <f>[4]利润表!$C$5</f>
        <v>18000000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18000000</v>
      </c>
      <c r="AA127" s="58">
        <f>SUMIF('调整分录-本期'!$D:$D,$A127,'调整分录-本期'!F:F)</f>
        <v>0</v>
      </c>
      <c r="AB127" s="58">
        <f>SUMIF('调整分录-本期'!$D:$D,$A127,'调整分录-本期'!G:G)</f>
        <v>0</v>
      </c>
      <c r="AC127" s="59">
        <f>Z127+AB127-AA127</f>
        <v>18000000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9300000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9300000</v>
      </c>
      <c r="AA131" s="64"/>
      <c r="AB131" s="64"/>
      <c r="AC131" s="65">
        <f>SUM(AC132:AC146)-SUM(AC145:AC146)</f>
        <v>9300000</v>
      </c>
      <c r="AD131" s="152"/>
      <c r="AE131" s="119"/>
      <c r="AH131" s="131"/>
    </row>
    <row r="132" spans="1:34" ht="15" customHeight="1">
      <c r="A132" s="118" t="s">
        <v>482</v>
      </c>
      <c r="B132" s="54" t="s">
        <v>479</v>
      </c>
      <c r="C132" s="70">
        <f>[4]利润表!$C$6</f>
        <v>7000000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7000000</v>
      </c>
      <c r="AA132" s="58">
        <f>SUMIF('调整分录-本期'!$D:$D,$A132,'调整分录-本期'!F:F)</f>
        <v>0</v>
      </c>
      <c r="AB132" s="58">
        <f>SUMIF('调整分录-本期'!$D:$D,$A132,'调整分录-本期'!G:G)</f>
        <v>0</v>
      </c>
      <c r="AC132" s="71">
        <f t="shared" ref="AC132:AC146" si="15">Z132+AA132-AB132</f>
        <v>7000000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300000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300000</v>
      </c>
      <c r="AA140" s="58">
        <f>SUMIF('调整分录-本期'!$D:$D,$A140,'调整分录-本期'!F:F)</f>
        <v>0</v>
      </c>
      <c r="AB140" s="58">
        <f>SUMIF('调整分录-本期'!$D:$D,$A140,'调整分录-本期'!G:G)</f>
        <v>0</v>
      </c>
      <c r="AC140" s="71">
        <f t="shared" si="15"/>
        <v>300000</v>
      </c>
      <c r="AD140" s="152"/>
      <c r="AE140" s="119"/>
      <c r="AH140" s="131"/>
    </row>
    <row r="141" spans="1:34" ht="15" customHeight="1">
      <c r="A141" s="118" t="s">
        <v>186</v>
      </c>
      <c r="B141" s="54" t="s">
        <v>105</v>
      </c>
      <c r="C141" s="57">
        <f>[4]利润表!$C$8</f>
        <v>300000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300000</v>
      </c>
      <c r="AA141" s="58">
        <f>SUMIF('调整分录-本期'!$D:$D,$A141,'调整分录-本期'!F:F)</f>
        <v>0</v>
      </c>
      <c r="AB141" s="58">
        <f>SUMIF('调整分录-本期'!$D:$D,$A141,'调整分录-本期'!G:G)</f>
        <v>0</v>
      </c>
      <c r="AC141" s="71">
        <f t="shared" si="15"/>
        <v>300000</v>
      </c>
      <c r="AD141" s="152"/>
      <c r="AE141" s="119"/>
      <c r="AH141" s="131"/>
    </row>
    <row r="142" spans="1:34" ht="15" customHeight="1">
      <c r="A142" s="118" t="s">
        <v>187</v>
      </c>
      <c r="B142" s="54" t="s">
        <v>107</v>
      </c>
      <c r="C142" s="57">
        <f>[4]利润表!$C$9</f>
        <v>1550000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1550000</v>
      </c>
      <c r="AA142" s="58">
        <f>SUMIF('调整分录-本期'!$D:$D,$A142,'调整分录-本期'!F:F)</f>
        <v>0</v>
      </c>
      <c r="AB142" s="58">
        <f>SUMIF('调整分录-本期'!$D:$D,$A142,'调整分录-本期'!G:G)</f>
        <v>0</v>
      </c>
      <c r="AC142" s="71">
        <f t="shared" si="15"/>
        <v>1550000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150000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150000</v>
      </c>
      <c r="AA144" s="58">
        <f>SUMIF('调整分录-本期'!$D:$D,$A144,'调整分录-本期'!F:F)</f>
        <v>0</v>
      </c>
      <c r="AB144" s="58">
        <f>SUMIF('调整分录-本期'!$D:$D,$A144,'调整分录-本期'!G:G)</f>
        <v>0</v>
      </c>
      <c r="AC144" s="71">
        <f t="shared" si="15"/>
        <v>150000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8700000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8700000</v>
      </c>
      <c r="AA156" s="64"/>
      <c r="AB156" s="64"/>
      <c r="AC156" s="65">
        <f>AC126-AC131+SUM(AC147:AC155)-AC149</f>
        <v>8700000</v>
      </c>
      <c r="AD156" s="152"/>
      <c r="AH156" s="131"/>
    </row>
    <row r="157" spans="1:34" ht="15" customHeight="1">
      <c r="A157" s="118" t="s">
        <v>483</v>
      </c>
      <c r="B157" s="54" t="s">
        <v>114</v>
      </c>
      <c r="C157" s="57">
        <f>[4]利润表!$C$16</f>
        <v>66666</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66666</v>
      </c>
      <c r="AA157" s="58">
        <f>SUMIF('调整分录-本期'!$D:$D,$A157,'调整分录-本期'!F:F)</f>
        <v>0</v>
      </c>
      <c r="AB157" s="58">
        <f>SUMIF('调整分录-本期'!$D:$D,$A157,'调整分录-本期'!G:G)</f>
        <v>0</v>
      </c>
      <c r="AC157" s="59">
        <f>Z157+AB157-AA157</f>
        <v>66666</v>
      </c>
      <c r="AD157" s="152"/>
      <c r="AH157" s="131"/>
    </row>
    <row r="158" spans="1:34" ht="15" customHeight="1">
      <c r="A158" s="118" t="s">
        <v>484</v>
      </c>
      <c r="B158" s="54" t="s">
        <v>115</v>
      </c>
      <c r="C158" s="57">
        <f>[4]利润表!$C$17</f>
        <v>44200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44200</v>
      </c>
      <c r="AA158" s="58">
        <f>SUMIF('调整分录-本期'!$D:$D,$A158,'调整分录-本期'!F:F)</f>
        <v>0</v>
      </c>
      <c r="AB158" s="58">
        <f>SUMIF('调整分录-本期'!$D:$D,$A158,'调整分录-本期'!G:G)</f>
        <v>0</v>
      </c>
      <c r="AC158" s="59">
        <f>Z158+AA158-AB158</f>
        <v>44200</v>
      </c>
      <c r="AD158" s="152"/>
      <c r="AE158" s="119"/>
      <c r="AH158" s="131"/>
    </row>
    <row r="159" spans="1:34" ht="15" customHeight="1">
      <c r="B159" s="60" t="s">
        <v>116</v>
      </c>
      <c r="C159" s="64">
        <f>C156+C157-C158</f>
        <v>8722466</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8722466</v>
      </c>
      <c r="AA159" s="64"/>
      <c r="AB159" s="64"/>
      <c r="AC159" s="65">
        <f>AC156+AC157-AC158</f>
        <v>8722466</v>
      </c>
      <c r="AD159" s="152"/>
      <c r="AH159" s="131"/>
    </row>
    <row r="160" spans="1:34" ht="15" customHeight="1">
      <c r="A160" s="118" t="s">
        <v>694</v>
      </c>
      <c r="B160" s="54" t="s">
        <v>117</v>
      </c>
      <c r="C160" s="57">
        <f>[4]利润表!$C$20</f>
        <v>1900000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1900000</v>
      </c>
      <c r="AA160" s="58">
        <f>SUMIF('调整分录-本期'!$D:$D,$A160,'调整分录-本期'!F:F)</f>
        <v>0</v>
      </c>
      <c r="AB160" s="58">
        <f>SUMIF('调整分录-本期'!$D:$D,$A160,'调整分录-本期'!G:G)</f>
        <v>0</v>
      </c>
      <c r="AC160" s="59">
        <f>Z160+AA160-AB160</f>
        <v>1900000</v>
      </c>
      <c r="AD160" s="152"/>
      <c r="AH160" s="131"/>
    </row>
    <row r="161" spans="1:34" ht="15" customHeight="1">
      <c r="B161" s="60" t="s">
        <v>118</v>
      </c>
      <c r="C161" s="64">
        <f t="shared" ref="C161" si="18">C159-C160</f>
        <v>6822466</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6822466</v>
      </c>
      <c r="AA161" s="64">
        <f>SUM(AA127:AA160)</f>
        <v>0</v>
      </c>
      <c r="AB161" s="64">
        <f>SUM(AB127:AB160)</f>
        <v>0</v>
      </c>
      <c r="AC161" s="65">
        <f t="shared" ref="AC161" si="19">AC159-AC160</f>
        <v>6822466</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6822466</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6822466</v>
      </c>
      <c r="AA163" s="64"/>
      <c r="AB163" s="64"/>
      <c r="AC163" s="65">
        <f>AC161-AC164</f>
        <v>6822466</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6822466</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6822466</v>
      </c>
      <c r="AA166" s="64"/>
      <c r="AB166" s="64"/>
      <c r="AC166" s="65">
        <f>AC161-AC167</f>
        <v>6822466</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800000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800000</v>
      </c>
      <c r="AA168" s="58">
        <f>SUMIF('调整分录-本期'!$D:$D,$A168,'调整分录-本期'!F:F)</f>
        <v>0</v>
      </c>
      <c r="AB168" s="58">
        <f>SUMIF('调整分录-本期'!$D:$D,$A168,'调整分录-本期'!G:G)</f>
        <v>0</v>
      </c>
      <c r="AC168" s="71">
        <f>Z168+AB168-AA168</f>
        <v>800000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7622466</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7622466</v>
      </c>
      <c r="AA171" s="64"/>
      <c r="AB171" s="64"/>
      <c r="AC171" s="65">
        <f>AC166+AC168+AC169</f>
        <v>7622466</v>
      </c>
      <c r="AD171" s="152"/>
      <c r="AE171" s="119"/>
      <c r="AH171" s="131"/>
    </row>
    <row r="172" spans="1:34" ht="15" customHeight="1">
      <c r="A172" s="118" t="s">
        <v>688</v>
      </c>
      <c r="B172" s="73" t="s">
        <v>81</v>
      </c>
      <c r="C172" s="57">
        <f>[4]利润表!$F$27</f>
        <v>682246.60000000009</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682246.60000000009</v>
      </c>
      <c r="AA172" s="58">
        <f>SUMIF('调整分录-本期'!$D:$D,$A172,'调整分录-本期'!F:F)</f>
        <v>0</v>
      </c>
      <c r="AB172" s="58">
        <f>SUMIF('调整分录-本期'!$D:$D,$A172,'调整分录-本期'!G:G)</f>
        <v>0</v>
      </c>
      <c r="AC172" s="59">
        <f>Z172+AA172-AB172</f>
        <v>682246.60000000009</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6940219.4000000004</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6940219.4000000004</v>
      </c>
      <c r="AA179" s="64"/>
      <c r="AB179" s="64"/>
      <c r="AC179" s="65">
        <f>AC171-SUM(AC172:AC178)</f>
        <v>6940219.4000000004</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6940219.4000000004</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6940219.4000000004</v>
      </c>
      <c r="AA187" s="76">
        <f>AA161+SUM(AA167:AA185)+SUMIF('调整分录-本期'!$D:$D,$A187,'调整分录-本期'!F:F)</f>
        <v>0</v>
      </c>
      <c r="AB187" s="76">
        <f>AB161+SUM(AB167:AB185)+SUMIF('调整分录-本期'!$D:$D,$A187,'调整分录-本期'!G:G)</f>
        <v>0</v>
      </c>
      <c r="AC187" s="77">
        <f>AC179-SUM(AC180:AC186)</f>
        <v>6940219.4000000004</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2021-07-21T13:33:33Z</dcterms:modified>
</cp:coreProperties>
</file>