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8_{15C287BD-5E61-450D-A8A1-26EACE696693}" xr6:coauthVersionLast="47" xr6:coauthVersionMax="47" xr10:uidLastSave="{00000000-0000-0000-0000-000000000000}"/>
  <bookViews>
    <workbookView xWindow="-120" yWindow="-120" windowWidth="21840" windowHeight="13140" tabRatio="888" firstSheet="1" activeTab="6"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2" l="1"/>
  <c r="C182" i="16" l="1"/>
  <c r="C172" i="16"/>
  <c r="C168" i="16"/>
  <c r="C153" i="16"/>
  <c r="C148" i="16"/>
  <c r="C132" i="16"/>
  <c r="C127" i="16"/>
  <c r="C160" i="16"/>
  <c r="C158" i="16"/>
  <c r="C157" i="16"/>
  <c r="C144" i="16"/>
  <c r="C142" i="16"/>
  <c r="C141" i="16"/>
  <c r="C131" i="16" s="1"/>
  <c r="C140" i="16"/>
  <c r="C182" i="2"/>
  <c r="C153" i="2"/>
  <c r="C148" i="2"/>
  <c r="C132" i="2"/>
  <c r="C127" i="2"/>
  <c r="C172" i="2"/>
  <c r="C160" i="2"/>
  <c r="C158" i="2"/>
  <c r="C157" i="2"/>
  <c r="C144" i="2"/>
  <c r="C142" i="2"/>
  <c r="C141" i="2"/>
  <c r="C140" i="2"/>
  <c r="C102" i="16"/>
  <c r="C106" i="16" s="1"/>
  <c r="C71" i="16"/>
  <c r="C57" i="16"/>
  <c r="C51" i="16"/>
  <c r="C47" i="16"/>
  <c r="C41" i="16"/>
  <c r="C38" i="16"/>
  <c r="C31" i="16"/>
  <c r="C25" i="16"/>
  <c r="C27" i="16" s="1"/>
  <c r="C21" i="16"/>
  <c r="C23" i="16" s="1"/>
  <c r="C17" i="16"/>
  <c r="C13" i="16"/>
  <c r="C7" i="16"/>
  <c r="C86" i="16"/>
  <c r="C85" i="16"/>
  <c r="C84" i="16"/>
  <c r="C78" i="16"/>
  <c r="C77" i="16"/>
  <c r="C111" i="16"/>
  <c r="C110" i="16"/>
  <c r="C120" i="16"/>
  <c r="C118" i="16"/>
  <c r="C121" i="16" s="1"/>
  <c r="C123" i="16" s="1"/>
  <c r="C116" i="16"/>
  <c r="C57" i="2"/>
  <c r="C51" i="2"/>
  <c r="C47" i="2"/>
  <c r="C38" i="2"/>
  <c r="C31" i="2"/>
  <c r="C25" i="2"/>
  <c r="C21" i="2"/>
  <c r="C17" i="2"/>
  <c r="C13" i="2"/>
  <c r="C7" i="2"/>
  <c r="C102" i="2"/>
  <c r="C71" i="2"/>
  <c r="C168" i="2"/>
  <c r="C120" i="2"/>
  <c r="C118" i="2"/>
  <c r="C116" i="2"/>
  <c r="C111" i="2"/>
  <c r="C110" i="2"/>
  <c r="C86" i="2"/>
  <c r="C85" i="2"/>
  <c r="C84" i="2"/>
  <c r="C78" i="2"/>
  <c r="C77" i="2"/>
  <c r="C60" i="16"/>
  <c r="C50" i="16"/>
  <c r="C126" i="16"/>
  <c r="C92" i="16"/>
  <c r="C64" i="16"/>
  <c r="C53" i="16"/>
  <c r="C46" i="16"/>
  <c r="C40" i="16"/>
  <c r="C15" i="16"/>
  <c r="Y32" i="19"/>
  <c r="Y31" i="19"/>
  <c r="Y30" i="19"/>
  <c r="Y29" i="19"/>
  <c r="Y28" i="19"/>
  <c r="Y27" i="19"/>
  <c r="Y26" i="19"/>
  <c r="Y25" i="19"/>
  <c r="Y24" i="19"/>
  <c r="Y23" i="19"/>
  <c r="Y22" i="19"/>
  <c r="Y21" i="19"/>
  <c r="Y18" i="19"/>
  <c r="Y17" i="19"/>
  <c r="Y16" i="19"/>
  <c r="Y15" i="19"/>
  <c r="Y14" i="19"/>
  <c r="Y10" i="19"/>
  <c r="Y9" i="19"/>
  <c r="Y8" i="19"/>
  <c r="AB122" i="16"/>
  <c r="AA122" i="16"/>
  <c r="C107" i="16" l="1"/>
  <c r="C68" i="16"/>
  <c r="C124" i="16"/>
  <c r="C156" i="16"/>
  <c r="C159" i="16" s="1"/>
  <c r="C161" i="16" s="1"/>
  <c r="C32" i="16"/>
  <c r="C121" i="2"/>
  <c r="AA235" i="16"/>
  <c r="AB235" i="16"/>
  <c r="Z235" i="16"/>
  <c r="C69" i="16" l="1"/>
  <c r="C166" i="16"/>
  <c r="C171" i="16" s="1"/>
  <c r="C179" i="16" s="1"/>
  <c r="C187" i="16" s="1"/>
  <c r="C163" i="16"/>
  <c r="AC235" i="16"/>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AB262" i="16" l="1"/>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C263" i="16"/>
  <c r="C250" i="16"/>
  <c r="C225" i="16"/>
  <c r="C221" i="16"/>
  <c r="C215" i="16"/>
  <c r="C210" i="16"/>
  <c r="C202" i="16"/>
  <c r="C197" i="16"/>
  <c r="Z221" i="16" l="1"/>
  <c r="AC239" i="16"/>
  <c r="AC243" i="16"/>
  <c r="AC247" i="16"/>
  <c r="AC212" i="16"/>
  <c r="AC236" i="16"/>
  <c r="AC254" i="16"/>
  <c r="AC258" i="16"/>
  <c r="AC262" i="16"/>
  <c r="AC219" i="16"/>
  <c r="AA215" i="16"/>
  <c r="AC252" i="16"/>
  <c r="AC256" i="16"/>
  <c r="AC260" i="16"/>
  <c r="AB263" i="16"/>
  <c r="AC201" i="16"/>
  <c r="AC224" i="16"/>
  <c r="AC213" i="16"/>
  <c r="AC223" i="16"/>
  <c r="Z202" i="16"/>
  <c r="Z215" i="16"/>
  <c r="Z225" i="16"/>
  <c r="Z263" i="16"/>
  <c r="AC214" i="16"/>
  <c r="AC237" i="16"/>
  <c r="AC241" i="16"/>
  <c r="AC245" i="16"/>
  <c r="AC249" i="16"/>
  <c r="AC199" i="16"/>
  <c r="Z250" i="16"/>
  <c r="Z197" i="16"/>
  <c r="AB202" i="16"/>
  <c r="AC207" i="16"/>
  <c r="AB225" i="16"/>
  <c r="AB250" i="16"/>
  <c r="C203" i="16"/>
  <c r="C216" i="16"/>
  <c r="AB215" i="16"/>
  <c r="AB221" i="16"/>
  <c r="AC209" i="16"/>
  <c r="C226" i="16"/>
  <c r="AC196" i="16"/>
  <c r="AA202" i="16"/>
  <c r="AC200" i="16"/>
  <c r="AA225" i="16"/>
  <c r="AA250" i="16"/>
  <c r="AC253" i="16"/>
  <c r="AC255" i="16"/>
  <c r="AC257" i="16"/>
  <c r="AC259" i="16"/>
  <c r="AC261" i="16"/>
  <c r="AB210" i="16"/>
  <c r="Z210" i="16"/>
  <c r="AC195" i="16"/>
  <c r="AC206" i="16"/>
  <c r="AC208" i="16"/>
  <c r="AC211" i="16"/>
  <c r="AC218" i="16"/>
  <c r="AC220" i="16"/>
  <c r="AC227" i="16"/>
  <c r="AC234" i="16"/>
  <c r="AC238" i="16"/>
  <c r="AC240" i="16"/>
  <c r="AC242" i="16"/>
  <c r="AC244" i="16"/>
  <c r="AC246" i="16"/>
  <c r="AC248" i="16"/>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B203" i="16"/>
  <c r="AB251" i="16" s="1"/>
  <c r="D19" i="9"/>
  <c r="AA216" i="16"/>
  <c r="AB216" i="16"/>
  <c r="AC202" i="16"/>
  <c r="D29" i="9"/>
  <c r="AC225" i="16"/>
  <c r="D56" i="9"/>
  <c r="D43" i="9"/>
  <c r="D37" i="9"/>
  <c r="AC250" i="16"/>
  <c r="D51" i="9"/>
  <c r="AB226" i="16"/>
  <c r="C228" i="16"/>
  <c r="C264" i="16" s="1"/>
  <c r="C50" i="9"/>
  <c r="AA203" i="16"/>
  <c r="AC215" i="16"/>
  <c r="AC263" i="16"/>
  <c r="C251" i="16"/>
  <c r="AC197" i="16"/>
  <c r="AC221" i="16"/>
  <c r="AC210" i="16"/>
  <c r="Z226" i="16"/>
  <c r="Z216" i="16"/>
  <c r="Z203" i="16"/>
  <c r="C230" i="16" l="1"/>
  <c r="Z251" i="16"/>
  <c r="AC203" i="16"/>
  <c r="C6" i="9"/>
  <c r="C53" i="9"/>
  <c r="C56" i="9" s="1"/>
  <c r="AC216" i="16"/>
  <c r="AC226" i="16"/>
  <c r="AB228" i="16"/>
  <c r="AB230" i="16" s="1"/>
  <c r="D30" i="9"/>
  <c r="D57" i="9"/>
  <c r="AA228" i="16"/>
  <c r="AA230" i="16" s="1"/>
  <c r="AA251" i="16"/>
  <c r="D44" i="9"/>
  <c r="Z230" i="16"/>
  <c r="Z264" i="16"/>
  <c r="Z228" i="16"/>
  <c r="D59" i="9" l="1"/>
  <c r="D61" i="9" s="1"/>
  <c r="AC228" i="16"/>
  <c r="AC230" i="16" s="1"/>
  <c r="AB264" i="16"/>
  <c r="AC251" i="16"/>
  <c r="AA264" i="16"/>
  <c r="AC264" i="16" l="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C35" i="6"/>
  <c r="AC68" i="2"/>
  <c r="C31" i="6"/>
  <c r="C34" i="6"/>
  <c r="C36" i="6"/>
  <c r="AC163" i="16"/>
  <c r="AB68" i="16"/>
  <c r="AB69" i="16" s="1"/>
  <c r="Z159" i="2"/>
  <c r="AC127" i="2"/>
  <c r="Z156" i="16"/>
  <c r="AC69" i="2" l="1"/>
  <c r="D47" i="6"/>
  <c r="C60" i="9"/>
  <c r="C61" i="9" s="1"/>
  <c r="D61" i="8"/>
  <c r="C46" i="6"/>
  <c r="C47" i="6" s="1"/>
  <c r="Z159" i="16"/>
  <c r="Z69" i="16"/>
  <c r="Z189" i="16" s="1"/>
  <c r="C6" i="8"/>
  <c r="AC126" i="2"/>
  <c r="Z69" i="2"/>
  <c r="Z189" i="2" s="1"/>
  <c r="Z163" i="2"/>
  <c r="AB168" i="16"/>
  <c r="AB187" i="16" s="1"/>
  <c r="AB120" i="16" s="1"/>
  <c r="C5" i="8" l="1"/>
  <c r="AC168" i="16"/>
  <c r="AA148" i="2"/>
  <c r="AB168" i="2"/>
  <c r="Z166" i="2"/>
  <c r="Z163" i="16"/>
  <c r="Z161" i="2"/>
  <c r="AC68" i="16"/>
  <c r="AC69" i="16" s="1"/>
  <c r="AB187" i="2" l="1"/>
  <c r="AB120" i="2" s="1"/>
  <c r="W7" i="19"/>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K13" i="19"/>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<sst xmlns="http://schemas.openxmlformats.org/spreadsheetml/2006/main" count="1403" uniqueCount="760">
  <si>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</si>
  <si>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</si>
  <si>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</si>
  <si>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</si>
  <si>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</si>
  <si>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</si>
  <si>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</si>
  <si>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</si>
  <si>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</si>
  <si>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</si>
  <si>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</si>
  <si>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</si>
  <si>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</si>
  <si>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</si>
  <si>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</si>
  <si>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</si>
  <si>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</si>
  <si>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</si>
  <si>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</si>
  <si>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</si>
  <si>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</si>
  <si>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</si>
  <si>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</si>
  <si>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</si>
  <si>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</si>
  <si>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</si>
  <si>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</si>
  <si>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</si>
  <si>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</si>
  <si>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</si>
  <si>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</si>
  <si>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</si>
  <si>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</si>
  <si>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</si>
  <si>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</si>
  <si>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</si>
  <si>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</si>
  <si>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</si>
  <si>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</si>
  <si>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</si>
  <si>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</si>
  <si>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</si>
  <si>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</si>
  <si>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</si>
  <si>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</si>
  <si>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</si>
  <si>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</si>
  <si>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</si>
  <si>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</si>
  <si>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</si>
  <si>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</si>
  <si>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</si>
  <si>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</si>
  <si>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</si>
  <si>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</si>
  <si>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</si>
  <si>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</si>
  <si>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</si>
  <si>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</si>
  <si>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</si>
  <si>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</si>
  <si>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</si>
  <si>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</si>
  <si>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</si>
  <si>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</si>
  <si>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</si>
  <si>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</si>
  <si>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</si>
  <si>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</si>
  <si>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</si>
  <si>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</si>
  <si>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</si>
  <si>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</si>
  <si>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</si>
  <si>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</si>
  <si>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</si>
  <si>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</si>
  <si>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</si>
  <si>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</si>
  <si>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</si>
  <si>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</si>
  <si>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</si>
  <si>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</si>
  <si>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</si>
  <si>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</si>
  <si>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</si>
  <si>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</si>
  <si>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</si>
  <si>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</si>
  <si>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</si>
  <si>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</si>
  <si>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</si>
  <si>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</si>
  <si>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</si>
  <si>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</si>
  <si>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</si>
  <si>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</si>
  <si>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</si>
  <si>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</si>
  <si>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</si>
  <si>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</si>
  <si>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</si>
  <si>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</si>
  <si>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</si>
  <si>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</si>
  <si>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</si>
  <si>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</si>
  <si>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</si>
  <si>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</si>
  <si>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</si>
  <si>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</si>
  <si>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</si>
  <si>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</si>
  <si>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</si>
  <si>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</si>
  <si>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</si>
  <si>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</si>
  <si>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</si>
  <si>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</si>
  <si>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</si>
  <si>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</si>
  <si>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</si>
  <si>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</si>
  <si>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</si>
  <si>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</si>
  <si>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</si>
  <si>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</si>
  <si>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</si>
  <si>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</si>
  <si>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</si>
  <si>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</si>
  <si>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</si>
  <si>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</si>
  <si>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</si>
  <si>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</si>
  <si>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</si>
  <si>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</si>
  <si>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</si>
  <si>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</si>
  <si>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</si>
  <si>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</si>
  <si>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</si>
  <si>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</si>
  <si>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</si>
  <si>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</si>
  <si>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</si>
  <si>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</si>
  <si>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</si>
  <si>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</si>
  <si>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</si>
  <si>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</si>
  <si>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</si>
  <si>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</si>
  <si>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</si>
  <si>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</si>
  <si>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</si>
  <si>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</si>
  <si>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</si>
  <si>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</si>
  <si>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</si>
  <si>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</si>
  <si>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</si>
  <si>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</si>
  <si>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</si>
  <si>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</si>
  <si>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</si>
  <si>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</si>
  <si>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</si>
  <si>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</si>
  <si>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</si>
  <si>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</si>
  <si>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</si>
  <si>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</si>
  <si>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</si>
  <si>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</si>
  <si>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</si>
  <si>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</si>
  <si>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</si>
  <si>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</si>
  <si>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</si>
  <si>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</si>
  <si>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</si>
  <si>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</si>
  <si>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</si>
  <si>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</si>
  <si>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</si>
  <si>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</si>
  <si>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</si>
  <si>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</si>
  <si>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</si>
  <si>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</si>
  <si>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</si>
  <si>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</si>
  <si>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</si>
  <si>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</si>
  <si>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</si>
  <si>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</si>
  <si>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</si>
  <si>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</si>
  <si>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</si>
  <si>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</si>
  <si>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</si>
  <si>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</si>
  <si>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</si>
  <si>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</si>
  <si>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</si>
  <si>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</si>
  <si>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</si>
  <si>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</si>
  <si>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</si>
  <si>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</si>
  <si>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</si>
  <si>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</si>
  <si>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</si>
  <si>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</si>
  <si>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</si>
  <si>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</si>
  <si>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</si>
  <si>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</si>
  <si>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</si>
  <si>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</si>
  <si>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</si>
  <si>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</si>
  <si>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</si>
  <si>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</si>
  <si>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</si>
  <si>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</si>
  <si>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</si>
  <si>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</si>
  <si>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</si>
  <si>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</si>
  <si>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</si>
  <si>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</si>
  <si>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</si>
  <si>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</si>
  <si>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</si>
  <si>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</si>
  <si>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</si>
  <si>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</si>
  <si>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</si>
  <si>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</si>
  <si>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</si>
  <si>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</si>
  <si>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</si>
  <si>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</si>
  <si>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</si>
  <si>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</si>
  <si>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</si>
  <si>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</si>
  <si>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</si>
  <si>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</si>
  <si>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</si>
  <si>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</si>
  <si>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</si>
  <si>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</si>
  <si>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</si>
  <si>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</si>
  <si>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</si>
  <si>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</si>
  <si>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</si>
  <si>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</si>
  <si>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</si>
  <si>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</si>
  <si>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</si>
  <si>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</si>
  <si>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</si>
  <si>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</si>
  <si>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</si>
  <si>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</si>
  <si>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</si>
  <si>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</si>
  <si>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</si>
  <si>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</si>
  <si>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</si>
  <si>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</si>
  <si>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</si>
  <si>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</si>
  <si>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</si>
  <si>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</si>
  <si>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</si>
  <si>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</si>
  <si>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</si>
  <si>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</si>
  <si>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</si>
  <si>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</si>
  <si>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</si>
  <si>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</si>
  <si>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</si>
  <si>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</si>
  <si>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</si>
  <si>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</si>
  <si>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</si>
  <si>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</si>
  <si>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</si>
  <si>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</si>
  <si>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</si>
  <si>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</si>
  <si>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</si>
  <si>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</si>
  <si>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</si>
  <si>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</si>
  <si>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</si>
  <si>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</si>
  <si>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</si>
  <si>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</si>
  <si>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</si>
  <si>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</si>
  <si>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</si>
  <si>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</si>
  <si>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</si>
  <si>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</si>
  <si>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</si>
  <si>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</si>
  <si>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</si>
  <si>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</si>
  <si>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</si>
  <si>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</si>
  <si>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</si>
  <si>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</si>
  <si>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</si>
  <si>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</si>
  <si>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</si>
  <si>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</si>
  <si>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</si>
  <si>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</si>
  <si>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</si>
  <si>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</si>
  <si>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</si>
  <si>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</si>
  <si>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</si>
  <si>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</si>
  <si>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</si>
  <si>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</si>
  <si>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</si>
  <si>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</si>
  <si>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</si>
  <si>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</si>
  <si>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</si>
  <si>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</si>
  <si>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</si>
  <si>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</si>
  <si>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</si>
  <si>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</si>
  <si>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</si>
  <si>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</si>
  <si>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</si>
  <si>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</si>
  <si>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</si>
  <si>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</si>
  <si>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</si>
  <si>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</si>
  <si>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</si>
  <si>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</si>
  <si>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</si>
  <si>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</si>
  <si>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</si>
  <si>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</si>
  <si>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</si>
  <si>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</si>
  <si>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</si>
  <si>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</si>
  <si>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</si>
  <si>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</si>
  <si>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</si>
  <si>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</si>
  <si>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</si>
  <si>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</si>
  <si>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</si>
  <si>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</si>
  <si>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</si>
  <si>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</si>
  <si>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</si>
  <si>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</si>
  <si>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</si>
  <si>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</si>
  <si>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</si>
  <si>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</si>
  <si>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</si>
  <si>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</si>
  <si>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</si>
  <si>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</si>
  <si>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</si>
  <si>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</si>
  <si>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</si>
  <si>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</si>
  <si>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</si>
  <si>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</si>
  <si>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</si>
  <si>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</si>
  <si>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</si>
  <si>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</si>
  <si>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</si>
  <si>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</si>
  <si>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</si>
  <si>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</si>
  <si>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</si>
  <si>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</si>
  <si>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</si>
  <si>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</si>
  <si>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</si>
  <si>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</si>
  <si>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</si>
  <si>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</si>
  <si>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</si>
  <si>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</si>
  <si>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</si>
  <si>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</si>
  <si>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</si>
  <si>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</si>
  <si>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</si>
  <si>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</si>
  <si>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</si>
  <si>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</si>
  <si>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</si>
  <si>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</si>
  <si>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</si>
  <si>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</si>
  <si>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</si>
  <si>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</si>
  <si>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</si>
  <si>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</si>
  <si>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</si>
  <si>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</si>
  <si>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</si>
  <si>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</si>
  <si>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</si>
  <si>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</si>
  <si>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</si>
  <si>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</si>
  <si>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</si>
  <si>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</si>
  <si>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</si>
  <si>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</si>
  <si>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</si>
  <si>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</si>
  <si>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</si>
  <si>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</si>
  <si>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</si>
  <si>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</si>
  <si>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</si>
  <si>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</si>
  <si>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</si>
  <si>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</si>
  <si>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</si>
  <si>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</si>
  <si>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</si>
  <si>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</si>
  <si>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</si>
  <si>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</si>
  <si>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</si>
  <si>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</si>
  <si>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</si>
  <si>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</si>
  <si>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</si>
  <si>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</si>
  <si>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</si>
  <si>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</si>
  <si>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</si>
  <si>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</si>
  <si>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</si>
  <si>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</si>
  <si>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</si>
  <si>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</si>
  <si>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</si>
  <si>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</si>
  <si>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</si>
  <si>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</si>
  <si>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</si>
  <si>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</si>
  <si>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</si>
  <si>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</si>
  <si>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</si>
  <si>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</si>
  <si>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</si>
  <si>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</si>
  <si>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</si>
  <si>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</si>
  <si>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</si>
  <si>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</si>
  <si>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</si>
  <si>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</si>
  <si>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</si>
  <si>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</si>
  <si>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</si>
  <si>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</si>
  <si>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</si>
  <si>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</si>
  <si>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</si>
  <si>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</si>
  <si>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</si>
  <si>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</si>
  <si>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</si>
  <si>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</si>
  <si>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</si>
  <si>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</si>
  <si>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</si>
  <si>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</si>
  <si>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</si>
  <si>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</si>
  <si>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</si>
  <si>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</si>
  <si>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</si>
  <si>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</si>
  <si>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</si>
  <si>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</si>
  <si>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</si>
  <si>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</si>
  <si>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</si>
  <si>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</si>
  <si>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</si>
  <si>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</si>
  <si>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</si>
  <si>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</si>
  <si>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</si>
  <si>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</si>
  <si>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</si>
  <si>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</si>
  <si>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</si>
  <si>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</si>
  <si>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</si>
  <si>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</si>
  <si>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</si>
  <si>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</si>
  <si>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</si>
  <si>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</si>
  <si>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</si>
  <si>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</si>
  <si>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</si>
  <si>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</si>
  <si>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</si>
  <si>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</si>
  <si>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</si>
  <si>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</si>
  <si>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</si>
  <si>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</si>
  <si>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</si>
  <si>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</si>
  <si>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</si>
  <si>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</si>
  <si>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</si>
  <si>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</si>
  <si>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</si>
  <si>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</si>
  <si>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</si>
  <si>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</si>
  <si>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</si>
  <si>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</si>
  <si>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</si>
  <si>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</si>
  <si>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</si>
  <si>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</si>
  <si>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</si>
  <si>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</si>
  <si>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</si>
  <si>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</si>
  <si>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</si>
  <si>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</si>
  <si>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</si>
  <si>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</si>
  <si>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</si>
  <si>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</si>
  <si>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</si>
  <si>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</si>
  <si>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</si>
  <si>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</si>
  <si>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</si>
  <si>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</si>
  <si>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</si>
  <si>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</si>
  <si>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</si>
  <si>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</si>
  <si>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</si>
  <si>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</si>
  <si>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</si>
  <si>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</si>
  <si>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</si>
  <si>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</si>
  <si>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</si>
  <si>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</si>
  <si>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</si>
  <si>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</si>
  <si>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</si>
  <si>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</si>
  <si>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</si>
  <si>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</si>
  <si>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</si>
  <si>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</si>
  <si>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</si>
  <si>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</si>
  <si>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</si>
  <si>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</si>
  <si>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</si>
  <si>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</si>
  <si>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</si>
  <si>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</si>
  <si>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</si>
  <si>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</si>
  <si>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</si>
  <si>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</si>
  <si>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</si>
  <si>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</si>
  <si>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</si>
  <si>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</si>
  <si>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</si>
  <si>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</si>
  <si>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</si>
  <si>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</si>
  <si>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</si>
  <si>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</si>
  <si>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</si>
  <si>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</si>
  <si>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</si>
  <si>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</si>
  <si>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</si>
  <si>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</si>
  <si>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</si>
  <si>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</si>
  <si>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</si>
  <si>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</si>
  <si>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</si>
  <si>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</si>
  <si>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</si>
  <si>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</si>
  <si>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</si>
  <si>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</si>
  <si>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</si>
  <si>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</si>
  <si>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</si>
  <si>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</si>
  <si>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</si>
  <si>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</si>
  <si>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</si>
  <si>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</si>
  <si>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</si>
  <si>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</si>
  <si>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</si>
  <si>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</si>
  <si>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</si>
  <si>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</si>
  <si>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</si>
  <si>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</si>
  <si>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</si>
  <si>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</si>
  <si>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</si>
  <si>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</si>
  <si>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</si>
  <si>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</si>
  <si>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</si>
  <si>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</si>
  <si>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</si>
  <si>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</si>
  <si>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</si>
  <si>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</si>
  <si>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</si>
  <si>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</si>
  <si>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</si>
  <si>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</si>
  <si>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</si>
  <si>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</si>
  <si>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</si>
  <si>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</si>
  <si>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</si>
  <si>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</si>
  <si>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</si>
  <si>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</si>
  <si>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</si>
  <si>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</si>
  <si>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</si>
  <si>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</si>
  <si>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</si>
  <si>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</si>
  <si>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</si>
  <si>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</si>
  <si>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</si>
  <si>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</si>
  <si>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</si>
  <si>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</si>
  <si>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</si>
  <si>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</si>
  <si>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</si>
  <si>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</si>
  <si>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</si>
  <si>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</si>
  <si>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</si>
  <si>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</si>
  <si>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</si>
  <si>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</si>
  <si>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</si>
  <si>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</si>
  <si>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</si>
  <si>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</si>
  <si>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</si>
  <si>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</si>
  <si>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</si>
  <si>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</si>
  <si>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</si>
  <si>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</si>
  <si>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</si>
  <si>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</si>
  <si>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</si>
  <si>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</si>
  <si>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</si>
  <si>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</si>
  <si>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</si>
  <si>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</si>
  <si>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</si>
  <si>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</si>
  <si>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</si>
  <si>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</si>
  <si>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</si>
  <si>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</si>
  <si>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</si>
  <si>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</si>
  <si>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</si>
  <si>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</si>
  <si>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</si>
  <si>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</si>
  <si>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</si>
  <si>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</si>
  <si>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</si>
  <si>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</si>
  <si>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</si>
  <si>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</si>
  <si>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</si>
  <si>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</si>
  <si>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</si>
  <si>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</si>
  <si>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</si>
  <si>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</si>
  <si>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</si>
  <si>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</si>
  <si>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</si>
  <si>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</si>
  <si>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</si>
  <si>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</si>
  <si>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</si>
  <si>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</si>
  <si>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</si>
  <si>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</si>
  <si>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</si>
  <si>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</si>
  <si>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</si>
  <si>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</si>
  <si>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</si>
  <si>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</si>
  <si>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</si>
  <si>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</si>
  <si>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</si>
  <si>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</si>
  <si>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</si>
  <si>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</si>
  <si>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</si>
  <si>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</si>
  <si>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</si>
  <si>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</si>
  <si>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</si>
  <si>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</si>
  <si>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</si>
  <si>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</si>
  <si>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编制单位：</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</si>
</sst>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12;&#24182;&#12289;&#29616;&#37329;&#27969;3.0/&#21512;&#24182;&#25253;&#34920;/&#26410;&#23457;&#25253;&#34920;/A&#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利润表"/>
      <sheetName val="现金流量表"/>
    </sheetNames>
    <sheetDataSet>
      <sheetData sheetId="0">
        <row r="6">
          <cell r="C6">
            <v>20000000</v>
          </cell>
          <cell r="D6">
            <v>18000000</v>
          </cell>
          <cell r="G6">
            <v>0</v>
          </cell>
          <cell r="H6">
            <v>0</v>
          </cell>
        </row>
        <row r="9">
          <cell r="C9">
            <v>5000000</v>
          </cell>
          <cell r="D9">
            <v>4000000</v>
          </cell>
          <cell r="G9">
            <v>9898985</v>
          </cell>
          <cell r="H9">
            <v>6000000</v>
          </cell>
        </row>
        <row r="10">
          <cell r="C10">
            <v>0</v>
          </cell>
          <cell r="D10">
            <v>0</v>
          </cell>
          <cell r="G10">
            <v>8786776</v>
          </cell>
          <cell r="H10">
            <v>9000000</v>
          </cell>
        </row>
        <row r="11">
          <cell r="G11">
            <v>4787678</v>
          </cell>
          <cell r="H11">
            <v>3000000</v>
          </cell>
        </row>
        <row r="12">
          <cell r="G12">
            <v>4657612</v>
          </cell>
          <cell r="H12">
            <v>5000000</v>
          </cell>
        </row>
        <row r="13">
          <cell r="C13">
            <v>6000000</v>
          </cell>
          <cell r="D13">
            <v>3000000</v>
          </cell>
        </row>
        <row r="14">
          <cell r="C14">
            <v>8978767</v>
          </cell>
          <cell r="D14">
            <v>8000000</v>
          </cell>
        </row>
        <row r="15">
          <cell r="G15">
            <v>8987256</v>
          </cell>
          <cell r="H15">
            <v>4000000</v>
          </cell>
        </row>
        <row r="17">
          <cell r="C17">
            <v>0</v>
          </cell>
          <cell r="D17">
            <v>0</v>
          </cell>
        </row>
        <row r="20">
          <cell r="C20">
            <v>7000000</v>
          </cell>
          <cell r="D20">
            <v>8000000</v>
          </cell>
        </row>
        <row r="23">
          <cell r="C23">
            <v>0</v>
          </cell>
          <cell r="D23">
            <v>0</v>
          </cell>
        </row>
        <row r="24">
          <cell r="H24">
            <v>0</v>
          </cell>
        </row>
        <row r="25">
          <cell r="C25">
            <v>5102198</v>
          </cell>
          <cell r="D25">
            <v>4000000</v>
          </cell>
        </row>
        <row r="26">
          <cell r="C26">
            <v>14167485</v>
          </cell>
          <cell r="D26">
            <v>5858000</v>
          </cell>
        </row>
        <row r="31">
          <cell r="C31">
            <v>0</v>
          </cell>
          <cell r="D31">
            <v>0</v>
          </cell>
          <cell r="G31">
            <v>6000000</v>
          </cell>
          <cell r="H31">
            <v>6000000</v>
          </cell>
        </row>
        <row r="32">
          <cell r="G32">
            <v>3000000</v>
          </cell>
          <cell r="H32">
            <v>3000000</v>
          </cell>
        </row>
        <row r="33">
          <cell r="G33">
            <v>500000</v>
          </cell>
          <cell r="H33">
            <v>0</v>
          </cell>
        </row>
        <row r="34">
          <cell r="G34">
            <v>5677214.2999999998</v>
          </cell>
          <cell r="H34">
            <v>5000000</v>
          </cell>
        </row>
        <row r="35">
          <cell r="G35">
            <v>13952928.699999999</v>
          </cell>
          <cell r="H35">
            <v>9858000</v>
          </cell>
        </row>
      </sheetData>
      <sheetData sheetId="1">
        <row r="5">
          <cell r="C5">
            <v>100000000</v>
          </cell>
          <cell r="D5">
            <v>90000000</v>
          </cell>
        </row>
        <row r="6">
          <cell r="C6">
            <v>80000000</v>
          </cell>
          <cell r="D6">
            <v>60000000</v>
          </cell>
        </row>
        <row r="7">
          <cell r="C7">
            <v>3437762</v>
          </cell>
          <cell r="D7">
            <v>4000000</v>
          </cell>
        </row>
        <row r="8">
          <cell r="C8">
            <v>0</v>
          </cell>
          <cell r="D8">
            <v>0</v>
          </cell>
        </row>
        <row r="9">
          <cell r="C9">
            <v>6762223</v>
          </cell>
          <cell r="D9">
            <v>5000000</v>
          </cell>
        </row>
        <row r="10">
          <cell r="C10">
            <v>1227872</v>
          </cell>
          <cell r="D10">
            <v>3000000</v>
          </cell>
        </row>
        <row r="11">
          <cell r="C11">
            <v>0</v>
          </cell>
          <cell r="D11">
            <v>0</v>
          </cell>
        </row>
        <row r="13">
          <cell r="C13">
            <v>0</v>
          </cell>
          <cell r="D13">
            <v>4000000</v>
          </cell>
        </row>
        <row r="16">
          <cell r="C16">
            <v>800000</v>
          </cell>
          <cell r="D16">
            <v>20000</v>
          </cell>
        </row>
        <row r="17">
          <cell r="C17">
            <v>0</v>
          </cell>
          <cell r="D17">
            <v>400000</v>
          </cell>
        </row>
        <row r="20">
          <cell r="C20">
            <v>2600000</v>
          </cell>
          <cell r="D20">
            <v>5600000</v>
          </cell>
        </row>
        <row r="27">
          <cell r="F27">
            <v>677214.3</v>
          </cell>
          <cell r="G27">
            <v>1602000</v>
          </cell>
        </row>
        <row r="28">
          <cell r="F28">
            <v>2000000</v>
          </cell>
          <cell r="G28">
            <v>8000000</v>
          </cell>
        </row>
        <row r="32">
          <cell r="F32">
            <v>3440000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620</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20000000</v>
      </c>
      <c r="D6" s="214">
        <f>'TB-上期'!AC7</f>
        <v>18000000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729</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5000000</v>
      </c>
      <c r="D12" s="214">
        <f>'TB-上期'!AC15</f>
        <v>4000000</v>
      </c>
      <c r="E12" s="86"/>
      <c r="F12" s="87"/>
      <c r="G12" s="41"/>
    </row>
    <row r="13" spans="1:7" s="12" customFormat="1" ht="18" customHeight="1">
      <c r="A13" s="215" t="s">
        <v>730</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6000000</v>
      </c>
      <c r="D18" s="214">
        <f>'TB-上期'!AC23</f>
        <v>3000000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8978767</v>
      </c>
      <c r="D20" s="214">
        <f>'TB-上期'!AC27</f>
        <v>8000000</v>
      </c>
      <c r="E20" s="86"/>
      <c r="F20" s="89"/>
    </row>
    <row r="21" spans="1:6" s="12" customFormat="1" ht="18" customHeight="1">
      <c r="A21" s="215" t="s">
        <v>731</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39978767</v>
      </c>
      <c r="D25" s="217">
        <f>IF(SUM(D6:D24)=0,"",SUM(D6:D24))</f>
        <v>33000000</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732</v>
      </c>
      <c r="B28" s="10"/>
      <c r="C28" s="42">
        <f>'TB-本期'!AC35</f>
        <v>0</v>
      </c>
      <c r="D28" s="214">
        <f>'TB-上期'!AC35</f>
        <v>0</v>
      </c>
      <c r="E28" s="86"/>
      <c r="F28" s="87"/>
    </row>
    <row r="29" spans="1:6" s="12" customFormat="1" ht="18" customHeight="1">
      <c r="A29" s="215" t="s">
        <v>733</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734</v>
      </c>
      <c r="B32" s="10"/>
      <c r="C32" s="42">
        <f>'TB-本期'!AC41</f>
        <v>7000000</v>
      </c>
      <c r="D32" s="214">
        <f>'TB-上期'!AC41</f>
        <v>8000000</v>
      </c>
      <c r="E32" s="86"/>
      <c r="F32" s="87"/>
    </row>
    <row r="33" spans="1:6" s="12" customFormat="1" ht="18" customHeight="1">
      <c r="A33" s="215" t="s">
        <v>735</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5102198</v>
      </c>
      <c r="D35" s="214">
        <f>'TB-上期'!AC50</f>
        <v>4000000</v>
      </c>
      <c r="E35" s="86"/>
      <c r="F35" s="87"/>
    </row>
    <row r="36" spans="1:6" s="12" customFormat="1" ht="18" customHeight="1">
      <c r="A36" s="213" t="s">
        <v>240</v>
      </c>
      <c r="B36" s="10"/>
      <c r="C36" s="42">
        <f>'TB-本期'!AC53</f>
        <v>14167485</v>
      </c>
      <c r="D36" s="214">
        <f>'TB-上期'!AC53</f>
        <v>5858000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736</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26269683</v>
      </c>
      <c r="D46" s="218">
        <f>IF(SUM(D27:D45)&lt;&gt;0,SUM(D27:D45),"")</f>
        <v>17858000</v>
      </c>
      <c r="E46" s="86"/>
      <c r="F46" s="89"/>
    </row>
    <row r="47" spans="1:6" s="12" customFormat="1" ht="18" customHeight="1" thickBot="1">
      <c r="A47" s="219" t="s">
        <v>250</v>
      </c>
      <c r="B47" s="220" t="s">
        <v>251</v>
      </c>
      <c r="C47" s="221">
        <f>SUM(C46,C25)</f>
        <v>66248450</v>
      </c>
      <c r="D47" s="222">
        <f>SUM(D46,D25)</f>
        <v>50858000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619</v>
      </c>
      <c r="B1" s="268"/>
      <c r="C1" s="268"/>
      <c r="D1" s="268"/>
    </row>
    <row r="2" spans="1:8" ht="16.5" customHeight="1">
      <c r="A2" s="269">
        <f>资产负债表!A2</f>
        <v>44196</v>
      </c>
      <c r="B2" s="269"/>
      <c r="C2" s="269"/>
      <c r="D2" s="269"/>
    </row>
    <row r="3" spans="1:8" s="8" customFormat="1" ht="19.5" customHeight="1" thickBot="1">
      <c r="A3" s="17" t="str">
        <f>资产负债表!A3</f>
        <v>编制单位：</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737</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9898985</v>
      </c>
      <c r="D12" s="214">
        <f>'TB-上期'!AC77</f>
        <v>6000000</v>
      </c>
      <c r="E12" s="86"/>
      <c r="F12" s="89"/>
      <c r="H12" s="86"/>
    </row>
    <row r="13" spans="1:8" s="12" customFormat="1" ht="16.5" customHeight="1">
      <c r="A13" s="225" t="s">
        <v>261</v>
      </c>
      <c r="B13" s="10"/>
      <c r="C13" s="42">
        <f>'TB-本期'!AC78</f>
        <v>8786776</v>
      </c>
      <c r="D13" s="214">
        <f>'TB-上期'!AC78</f>
        <v>9000000</v>
      </c>
      <c r="E13" s="86"/>
      <c r="F13" s="87"/>
      <c r="H13" s="86"/>
    </row>
    <row r="14" spans="1:8" s="12" customFormat="1" ht="16.5" customHeight="1">
      <c r="A14" s="226" t="s">
        <v>738</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4787678</v>
      </c>
      <c r="D19" s="214">
        <f>'TB-上期'!AC84</f>
        <v>3000000</v>
      </c>
      <c r="E19" s="86"/>
      <c r="F19" s="87"/>
      <c r="H19" s="86"/>
    </row>
    <row r="20" spans="1:8" s="12" customFormat="1" ht="16.5" customHeight="1">
      <c r="A20" s="225" t="s">
        <v>265</v>
      </c>
      <c r="B20" s="10"/>
      <c r="C20" s="42">
        <f>'TB-本期'!AC85</f>
        <v>4657612</v>
      </c>
      <c r="D20" s="214">
        <f>'TB-上期'!AC85</f>
        <v>5000000</v>
      </c>
      <c r="E20" s="86"/>
      <c r="F20" s="87"/>
      <c r="H20" s="86"/>
    </row>
    <row r="21" spans="1:8" s="12" customFormat="1" ht="16.5" customHeight="1">
      <c r="A21" s="225" t="s">
        <v>266</v>
      </c>
      <c r="B21" s="10"/>
      <c r="C21" s="42">
        <f>'TB-本期'!AC86</f>
        <v>8987256</v>
      </c>
      <c r="D21" s="214">
        <f>'TB-上期'!AC86</f>
        <v>4000000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37118307</v>
      </c>
      <c r="D27" s="218">
        <f>IF(SUM(D6:D26)&lt;&gt;0,SUM(D6:D26),"")</f>
        <v>27000000</v>
      </c>
      <c r="E27" s="86"/>
      <c r="F27" s="86"/>
    </row>
    <row r="28" spans="1:8" s="12" customFormat="1" ht="16.5" customHeight="1">
      <c r="A28" s="224" t="s">
        <v>274</v>
      </c>
      <c r="B28" s="10"/>
      <c r="C28" s="42"/>
      <c r="D28" s="214"/>
      <c r="E28" s="86"/>
      <c r="F28" s="86"/>
    </row>
    <row r="29" spans="1:8" s="12" customFormat="1" ht="16.5" hidden="1" customHeight="1">
      <c r="A29" s="226" t="s">
        <v>741</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745</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37118307</v>
      </c>
      <c r="D41" s="218">
        <f>IF(SUM(D40,D27)&lt;&gt;0,SUM(D40,D27),"")</f>
        <v>27000000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6000000</v>
      </c>
      <c r="D43" s="214">
        <f>'TB-上期'!AC110</f>
        <v>6000000</v>
      </c>
      <c r="E43" s="86"/>
      <c r="F43" s="87"/>
    </row>
    <row r="44" spans="1:6" s="12" customFormat="1" ht="16.5" customHeight="1">
      <c r="A44" s="225" t="s">
        <v>287</v>
      </c>
      <c r="B44" s="10"/>
      <c r="C44" s="42">
        <f>'TB-本期'!AC111</f>
        <v>3000000</v>
      </c>
      <c r="D44" s="214">
        <f>'TB-上期'!AC111</f>
        <v>3000000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500000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5677214.2999999998</v>
      </c>
      <c r="D51" s="214">
        <f>'TB-上期'!AC118</f>
        <v>5000000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13952928.699999999</v>
      </c>
      <c r="D53" s="214">
        <f>'TB-上期'!AC120</f>
        <v>9858000</v>
      </c>
      <c r="E53" s="86"/>
      <c r="F53" s="87"/>
    </row>
    <row r="54" spans="1:6" s="12" customFormat="1" ht="16.5" customHeight="1">
      <c r="A54" s="225" t="s">
        <v>296</v>
      </c>
      <c r="B54" s="10"/>
      <c r="C54" s="44">
        <f>IF((SUM(C43:C47,C49:C53)-C48-C45-C46)&lt;&gt;0,(SUM(C43:C47,C49:C53)-C48-C45-C46),"")</f>
        <v>29130143</v>
      </c>
      <c r="D54" s="217">
        <f>IF((SUM(D43:D47,D49:D53)-D48-D45-D46)&lt;&gt;0,(SUM(D43:D47,D49:D53)-D48-D45-D46),"")</f>
        <v>23858000</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29130143</v>
      </c>
      <c r="D56" s="218">
        <f>SUM(D54:D55)</f>
        <v>23858000</v>
      </c>
      <c r="E56" s="86"/>
      <c r="F56" s="89"/>
    </row>
    <row r="57" spans="1:6" s="12" customFormat="1" ht="16.5" customHeight="1" thickBot="1">
      <c r="A57" s="228" t="s">
        <v>299</v>
      </c>
      <c r="B57" s="220" t="s">
        <v>251</v>
      </c>
      <c r="C57" s="221">
        <f>SUM(C41,C56)</f>
        <v>66248450</v>
      </c>
      <c r="D57" s="222">
        <f>SUM(D41,D56)</f>
        <v>50858000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618</v>
      </c>
      <c r="B1" s="268"/>
      <c r="C1" s="268"/>
      <c r="D1" s="268"/>
    </row>
    <row r="2" spans="1:7" ht="12.75" customHeight="1">
      <c r="A2" s="273" t="s">
        <v>649</v>
      </c>
      <c r="B2" s="274"/>
      <c r="C2" s="274"/>
      <c r="D2" s="274"/>
    </row>
    <row r="3" spans="1:7" s="8" customFormat="1" ht="22.5" customHeight="1" thickBot="1">
      <c r="A3" s="17" t="str">
        <f>资产负债表!A3</f>
        <v>编制单位：</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100000000</v>
      </c>
      <c r="D5" s="236">
        <f>SUM(D6:D9)</f>
        <v>90000000</v>
      </c>
    </row>
    <row r="6" spans="1:7" ht="16.5" customHeight="1">
      <c r="A6" s="225" t="s">
        <v>305</v>
      </c>
      <c r="B6" s="22"/>
      <c r="C6" s="51">
        <f>'TB-本期'!AC127</f>
        <v>100000000</v>
      </c>
      <c r="D6" s="237">
        <f>'TB-上期'!AC127</f>
        <v>90000000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91427857</v>
      </c>
      <c r="D10" s="236">
        <f>SUM(D11:D25)-SUM(D24:D25)</f>
        <v>72000000</v>
      </c>
    </row>
    <row r="11" spans="1:7" ht="16.5" customHeight="1">
      <c r="A11" s="225" t="s">
        <v>310</v>
      </c>
      <c r="B11" s="22"/>
      <c r="C11" s="51">
        <f>'TB-本期'!AC132</f>
        <v>80000000</v>
      </c>
      <c r="D11" s="237">
        <f>'TB-上期'!AC132</f>
        <v>60000000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3437762</v>
      </c>
      <c r="D19" s="237">
        <f>'TB-上期'!AC140</f>
        <v>4000000</v>
      </c>
    </row>
    <row r="20" spans="1:4" ht="16.5" customHeight="1">
      <c r="A20" s="225" t="s">
        <v>319</v>
      </c>
      <c r="B20" s="22"/>
      <c r="C20" s="51">
        <f>'TB-本期'!AC141</f>
        <v>0</v>
      </c>
      <c r="D20" s="237">
        <f>'TB-上期'!AC141</f>
        <v>0</v>
      </c>
    </row>
    <row r="21" spans="1:4" ht="16.5" customHeight="1">
      <c r="A21" s="225" t="s">
        <v>320</v>
      </c>
      <c r="B21" s="22"/>
      <c r="C21" s="51">
        <f>'TB-本期'!AC142</f>
        <v>6762223</v>
      </c>
      <c r="D21" s="237">
        <f>'TB-上期'!AC142</f>
        <v>5000000</v>
      </c>
    </row>
    <row r="22" spans="1:4" ht="16.5" customHeight="1">
      <c r="A22" s="225" t="s">
        <v>321</v>
      </c>
      <c r="B22" s="22"/>
      <c r="C22" s="51">
        <f>'TB-本期'!AC143</f>
        <v>0</v>
      </c>
      <c r="D22" s="237">
        <f>'TB-上期'!AC143</f>
        <v>0</v>
      </c>
    </row>
    <row r="23" spans="1:4" ht="16.5" customHeight="1">
      <c r="A23" s="225" t="s">
        <v>322</v>
      </c>
      <c r="B23" s="22"/>
      <c r="C23" s="51">
        <f>'TB-本期'!AC144</f>
        <v>1227872</v>
      </c>
      <c r="D23" s="237">
        <f>'TB-上期'!AC144</f>
        <v>3000000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4000000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742</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743</v>
      </c>
      <c r="B32" s="22"/>
      <c r="C32" s="51">
        <f>'TB-本期'!AC153</f>
        <v>0</v>
      </c>
      <c r="D32" s="237">
        <f>'TB-上期'!AC153</f>
        <v>0</v>
      </c>
    </row>
    <row r="33" spans="1:4" ht="16.5" customHeight="1">
      <c r="A33" s="225" t="s">
        <v>744</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8572143</v>
      </c>
      <c r="D35" s="236">
        <f>D5-D10+SUM(D26:D34)-D28</f>
        <v>22000000</v>
      </c>
    </row>
    <row r="36" spans="1:4" ht="16.5" customHeight="1">
      <c r="A36" s="225" t="s">
        <v>332</v>
      </c>
      <c r="B36" s="22"/>
      <c r="C36" s="51">
        <f>'TB-本期'!AC157</f>
        <v>800000</v>
      </c>
      <c r="D36" s="237">
        <f>'TB-上期'!AC157</f>
        <v>20000</v>
      </c>
    </row>
    <row r="37" spans="1:4" ht="16.5" customHeight="1">
      <c r="A37" s="225" t="s">
        <v>333</v>
      </c>
      <c r="B37" s="22"/>
      <c r="C37" s="51">
        <f>'TB-本期'!AC158</f>
        <v>0</v>
      </c>
      <c r="D37" s="237">
        <f>'TB-上期'!AC158</f>
        <v>400000</v>
      </c>
    </row>
    <row r="38" spans="1:4" ht="16.5" customHeight="1">
      <c r="A38" s="224" t="s">
        <v>334</v>
      </c>
      <c r="B38" s="22"/>
      <c r="C38" s="45">
        <f>C35+C36-C37</f>
        <v>9372143</v>
      </c>
      <c r="D38" s="236">
        <f>D35+D36-D37</f>
        <v>21620000</v>
      </c>
    </row>
    <row r="39" spans="1:4" ht="16.5" customHeight="1">
      <c r="A39" s="225" t="s">
        <v>335</v>
      </c>
      <c r="B39" s="22"/>
      <c r="C39" s="51">
        <f>'TB-本期'!AC160</f>
        <v>2600000</v>
      </c>
      <c r="D39" s="237">
        <f>'TB-上期'!AC160</f>
        <v>5600000</v>
      </c>
    </row>
    <row r="40" spans="1:4" ht="16.5" customHeight="1">
      <c r="A40" s="224" t="s">
        <v>336</v>
      </c>
      <c r="B40" s="22"/>
      <c r="C40" s="46">
        <f>C38-C39</f>
        <v>6772143</v>
      </c>
      <c r="D40" s="238">
        <f>D38-D39</f>
        <v>16020000</v>
      </c>
    </row>
    <row r="41" spans="1:4" ht="16.5" customHeight="1">
      <c r="A41" s="225" t="s">
        <v>337</v>
      </c>
      <c r="B41" s="22"/>
      <c r="C41" s="47"/>
      <c r="D41" s="239"/>
    </row>
    <row r="42" spans="1:4" ht="16.5" customHeight="1">
      <c r="A42" s="225" t="s">
        <v>338</v>
      </c>
      <c r="B42" s="22"/>
      <c r="C42" s="47">
        <f>C40-C43</f>
        <v>6772143</v>
      </c>
      <c r="D42" s="239">
        <f>D40-D43</f>
        <v>16020000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6772143</v>
      </c>
      <c r="D46" s="239">
        <f>D40-D45</f>
        <v>16020000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6772143</v>
      </c>
      <c r="D60" s="244">
        <f>D40+D47</f>
        <v>16020000</v>
      </c>
    </row>
    <row r="61" spans="1:4" ht="16.5" hidden="1" customHeight="1">
      <c r="A61" s="229" t="s">
        <v>357</v>
      </c>
      <c r="B61" s="230"/>
      <c r="C61" s="231">
        <f>C46+C48</f>
        <v>6772143</v>
      </c>
      <c r="D61" s="231">
        <f>D46+D48</f>
        <v>16020000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617</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616</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645</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v>
      </c>
      <c r="Y3" s="165"/>
    </row>
    <row r="4" spans="1:25" s="164" customFormat="1" ht="22.5" customHeight="1">
      <c r="A4" s="292" t="s">
        <v>622</v>
      </c>
      <c r="B4" s="294" t="s">
        <v>621</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647</v>
      </c>
      <c r="C5" s="283" t="s">
        <v>623</v>
      </c>
      <c r="D5" s="283"/>
      <c r="E5" s="283"/>
      <c r="F5" s="284" t="s">
        <v>426</v>
      </c>
      <c r="G5" s="284" t="s">
        <v>427</v>
      </c>
      <c r="H5" s="284" t="s">
        <v>624</v>
      </c>
      <c r="I5" s="284" t="s">
        <v>625</v>
      </c>
      <c r="J5" s="284" t="s">
        <v>428</v>
      </c>
      <c r="K5" s="284" t="s">
        <v>510</v>
      </c>
      <c r="L5" s="284" t="s">
        <v>754</v>
      </c>
      <c r="M5" s="287" t="s">
        <v>648</v>
      </c>
      <c r="N5" s="284" t="s">
        <v>647</v>
      </c>
      <c r="O5" s="283" t="s">
        <v>623</v>
      </c>
      <c r="P5" s="283"/>
      <c r="Q5" s="283"/>
      <c r="R5" s="284" t="s">
        <v>426</v>
      </c>
      <c r="S5" s="284" t="s">
        <v>427</v>
      </c>
      <c r="T5" s="284" t="s">
        <v>624</v>
      </c>
      <c r="U5" s="284" t="s">
        <v>625</v>
      </c>
      <c r="V5" s="284" t="s">
        <v>428</v>
      </c>
      <c r="W5" s="284" t="s">
        <v>510</v>
      </c>
      <c r="X5" s="284" t="s">
        <v>754</v>
      </c>
      <c r="Y5" s="287" t="s">
        <v>648</v>
      </c>
    </row>
    <row r="6" spans="1:25" s="166" customFormat="1" ht="24.75" customHeight="1">
      <c r="A6" s="293"/>
      <c r="B6" s="285"/>
      <c r="C6" s="206" t="s">
        <v>627</v>
      </c>
      <c r="D6" s="206" t="s">
        <v>628</v>
      </c>
      <c r="E6" s="206" t="s">
        <v>626</v>
      </c>
      <c r="F6" s="285"/>
      <c r="G6" s="285"/>
      <c r="H6" s="285"/>
      <c r="I6" s="285"/>
      <c r="J6" s="285"/>
      <c r="K6" s="286"/>
      <c r="L6" s="286"/>
      <c r="M6" s="288"/>
      <c r="N6" s="285"/>
      <c r="O6" s="206" t="s">
        <v>627</v>
      </c>
      <c r="P6" s="206" t="s">
        <v>628</v>
      </c>
      <c r="Q6" s="206" t="s">
        <v>626</v>
      </c>
      <c r="R6" s="285"/>
      <c r="S6" s="285"/>
      <c r="T6" s="285"/>
      <c r="U6" s="285"/>
      <c r="V6" s="285"/>
      <c r="W6" s="286"/>
      <c r="X6" s="286"/>
      <c r="Y6" s="288"/>
    </row>
    <row r="7" spans="1:25" s="164" customFormat="1" ht="22.5" customHeight="1">
      <c r="A7" s="167" t="s">
        <v>429</v>
      </c>
      <c r="B7" s="168">
        <f>N34</f>
        <v>6000000</v>
      </c>
      <c r="C7" s="168">
        <f t="shared" ref="C7:K7" si="0">O34</f>
        <v>0</v>
      </c>
      <c r="D7" s="168">
        <f t="shared" si="0"/>
        <v>0</v>
      </c>
      <c r="E7" s="168">
        <f t="shared" si="0"/>
        <v>0</v>
      </c>
      <c r="F7" s="168">
        <f t="shared" si="0"/>
        <v>0</v>
      </c>
      <c r="G7" s="168">
        <f t="shared" si="0"/>
        <v>0</v>
      </c>
      <c r="H7" s="168">
        <f t="shared" si="0"/>
        <v>0</v>
      </c>
      <c r="I7" s="168">
        <f t="shared" si="0"/>
        <v>0</v>
      </c>
      <c r="J7" s="168">
        <f>'TB-上期'!AC118</f>
        <v>5000000</v>
      </c>
      <c r="K7" s="168">
        <f t="shared" si="0"/>
        <v>17858000</v>
      </c>
      <c r="L7" s="170"/>
      <c r="M7" s="171">
        <f>SUM(B7:F7,-G7,H7:L7)</f>
        <v>28858000</v>
      </c>
      <c r="N7" s="172">
        <f>'TB-上期'!C110</f>
        <v>6000000</v>
      </c>
      <c r="O7" s="172"/>
      <c r="P7" s="172"/>
      <c r="Q7" s="172"/>
      <c r="R7" s="169"/>
      <c r="S7" s="169"/>
      <c r="T7" s="169"/>
      <c r="U7" s="169"/>
      <c r="V7" s="169"/>
      <c r="W7" s="170">
        <f>'TB-上期'!AC168</f>
        <v>3440000</v>
      </c>
      <c r="X7" s="170"/>
      <c r="Y7" s="173">
        <f>SUM(N7:R7,-S7,T7:X7)</f>
        <v>9440000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629</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630</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6000000</v>
      </c>
      <c r="C11" s="168">
        <f t="shared" si="3"/>
        <v>0</v>
      </c>
      <c r="D11" s="168">
        <f t="shared" si="3"/>
        <v>0</v>
      </c>
      <c r="E11" s="168">
        <f t="shared" si="3"/>
        <v>0</v>
      </c>
      <c r="F11" s="168">
        <f t="shared" si="3"/>
        <v>0</v>
      </c>
      <c r="G11" s="169">
        <f t="shared" si="3"/>
        <v>0</v>
      </c>
      <c r="H11" s="169">
        <f t="shared" si="3"/>
        <v>0</v>
      </c>
      <c r="I11" s="169">
        <f t="shared" si="3"/>
        <v>0</v>
      </c>
      <c r="J11" s="169">
        <f t="shared" si="3"/>
        <v>5000000</v>
      </c>
      <c r="K11" s="169">
        <f t="shared" si="3"/>
        <v>17858000</v>
      </c>
      <c r="L11" s="169"/>
      <c r="M11" s="171">
        <f t="shared" si="1"/>
        <v>28858000</v>
      </c>
      <c r="N11" s="172">
        <f t="shared" ref="N11:W11" si="4">SUM(N7:N10)</f>
        <v>6000000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3440000</v>
      </c>
      <c r="X11" s="170"/>
      <c r="Y11" s="173">
        <f t="shared" si="2"/>
        <v>9440000</v>
      </c>
    </row>
    <row r="12" spans="1:25" s="164" customFormat="1" ht="25.5" customHeight="1">
      <c r="A12" s="167" t="s">
        <v>631</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6772143</v>
      </c>
      <c r="L12" s="168"/>
      <c r="M12" s="171">
        <f t="shared" si="1"/>
        <v>6772143</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1602000</v>
      </c>
      <c r="W12" s="172">
        <f>W13+W14+W19+W23+W30+W33</f>
        <v>14418000</v>
      </c>
      <c r="X12" s="263"/>
      <c r="Y12" s="173">
        <f t="shared" si="2"/>
        <v>16020000</v>
      </c>
    </row>
    <row r="13" spans="1:25" s="164" customFormat="1" ht="22.5" customHeight="1">
      <c r="A13" s="175" t="s">
        <v>632</v>
      </c>
      <c r="B13" s="168"/>
      <c r="C13" s="168"/>
      <c r="D13" s="168"/>
      <c r="E13" s="168"/>
      <c r="F13" s="168"/>
      <c r="G13" s="169"/>
      <c r="H13" s="169">
        <v>0</v>
      </c>
      <c r="I13" s="169"/>
      <c r="J13" s="169"/>
      <c r="K13" s="170">
        <f>'TB-本期'!AC166</f>
        <v>6772143</v>
      </c>
      <c r="L13" s="170"/>
      <c r="M13" s="171">
        <f t="shared" si="1"/>
        <v>6772143</v>
      </c>
      <c r="N13" s="172"/>
      <c r="O13" s="172"/>
      <c r="P13" s="172"/>
      <c r="Q13" s="172"/>
      <c r="R13" s="169"/>
      <c r="S13" s="169"/>
      <c r="T13" s="169">
        <v>0</v>
      </c>
      <c r="U13" s="169"/>
      <c r="V13" s="169"/>
      <c r="W13" s="170">
        <f>'TB-上期'!AC166</f>
        <v>16020000</v>
      </c>
      <c r="X13" s="170"/>
      <c r="Y13" s="173">
        <f t="shared" si="2"/>
        <v>16020000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633</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634</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1602000</v>
      </c>
      <c r="W19" s="169">
        <f t="shared" si="10"/>
        <v>-1602000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1602000</v>
      </c>
      <c r="W20" s="170">
        <f>-V20</f>
        <v>-1602000</v>
      </c>
      <c r="X20" s="170"/>
      <c r="Y20" s="173">
        <f t="shared" si="2"/>
        <v>0</v>
      </c>
    </row>
    <row r="21" spans="1:25" s="164" customFormat="1" ht="22.5" customHeight="1">
      <c r="A21" s="174" t="s">
        <v>635</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636</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637</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638</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639</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640</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641</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642</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643</v>
      </c>
      <c r="B34" s="183">
        <f t="shared" ref="B34:K34" si="15">B11+B12</f>
        <v>6000000</v>
      </c>
      <c r="C34" s="183">
        <f t="shared" si="15"/>
        <v>0</v>
      </c>
      <c r="D34" s="183">
        <f t="shared" si="15"/>
        <v>0</v>
      </c>
      <c r="E34" s="183">
        <f t="shared" si="15"/>
        <v>0</v>
      </c>
      <c r="F34" s="183">
        <f t="shared" si="15"/>
        <v>0</v>
      </c>
      <c r="G34" s="183">
        <f t="shared" si="15"/>
        <v>0</v>
      </c>
      <c r="H34" s="183">
        <f t="shared" si="15"/>
        <v>0</v>
      </c>
      <c r="I34" s="183">
        <f t="shared" si="15"/>
        <v>0</v>
      </c>
      <c r="J34" s="183">
        <f t="shared" si="15"/>
        <v>5000000</v>
      </c>
      <c r="K34" s="183">
        <f t="shared" si="15"/>
        <v>24630143</v>
      </c>
      <c r="L34" s="183"/>
      <c r="M34" s="184">
        <f t="shared" si="1"/>
        <v>35630143</v>
      </c>
      <c r="N34" s="185">
        <f t="shared" ref="N34:V34" si="16">N11+N12</f>
        <v>6000000</v>
      </c>
      <c r="O34" s="185">
        <f t="shared" si="16"/>
        <v>0</v>
      </c>
      <c r="P34" s="185">
        <f t="shared" si="16"/>
        <v>0</v>
      </c>
      <c r="Q34" s="185">
        <f t="shared" si="16"/>
        <v>0</v>
      </c>
      <c r="R34" s="183">
        <f t="shared" si="16"/>
        <v>0</v>
      </c>
      <c r="S34" s="183">
        <f t="shared" si="16"/>
        <v>0</v>
      </c>
      <c r="T34" s="183">
        <f t="shared" si="16"/>
        <v>0</v>
      </c>
      <c r="U34" s="183">
        <f t="shared" si="16"/>
        <v>0</v>
      </c>
      <c r="V34" s="183">
        <f t="shared" si="16"/>
        <v>1602000</v>
      </c>
      <c r="W34" s="183">
        <f>W11+W12</f>
        <v>17858000</v>
      </c>
      <c r="X34" s="264"/>
      <c r="Y34" s="186">
        <f t="shared" si="2"/>
        <v>25460000</v>
      </c>
    </row>
    <row r="35" spans="1:25" s="164" customFormat="1" ht="22.5" customHeight="1">
      <c r="A35" s="282" t="s">
        <v>644</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646</v>
      </c>
      <c r="B37" s="191">
        <f>B34-'资产负债表（续）'!C43</f>
        <v>0</v>
      </c>
      <c r="C37" s="191"/>
      <c r="D37" s="191"/>
      <c r="E37" s="191"/>
      <c r="F37" s="191"/>
      <c r="G37" s="191"/>
      <c r="H37" s="191"/>
      <c r="I37" s="191"/>
      <c r="J37" s="191">
        <f>J34-'TB-上期'!AC118</f>
        <v>0</v>
      </c>
      <c r="K37" s="191">
        <f>K34-'资产负债表（续）'!C53</f>
        <v>10677214.300000001</v>
      </c>
      <c r="L37" s="191"/>
      <c r="M37" s="191">
        <f>M34-'资产负债表（续）'!C56</f>
        <v>6500000</v>
      </c>
      <c r="N37" s="191">
        <f>N34-'资产负债表（续）'!D43</f>
        <v>0</v>
      </c>
      <c r="O37" s="191"/>
      <c r="P37" s="191"/>
      <c r="Q37" s="191"/>
      <c r="R37" s="191"/>
      <c r="S37" s="191"/>
      <c r="T37" s="191"/>
      <c r="U37" s="191"/>
      <c r="V37" s="191">
        <f>V34-'资产负债表（续）'!C51</f>
        <v>-4075214.3</v>
      </c>
      <c r="W37" s="191">
        <f>W34-'资产负债表（续）'!D53</f>
        <v>8000000</v>
      </c>
      <c r="X37" s="191"/>
      <c r="Y37" s="192">
        <f>Y34-'资产负债表（续）'!D56</f>
        <v>1602000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675</v>
      </c>
    </row>
    <row r="5" spans="1:1" customFormat="1" hidden="1">
      <c r="A5" s="1" t="s">
        <v>134</v>
      </c>
    </row>
    <row r="6" spans="1:1" customFormat="1" hidden="1">
      <c r="A6" s="1" t="s">
        <v>650</v>
      </c>
    </row>
    <row r="7" spans="1:1" customFormat="1" hidden="1">
      <c r="A7" s="1" t="s">
        <v>651</v>
      </c>
    </row>
    <row r="8" spans="1:1" customFormat="1" hidden="1">
      <c r="A8" s="1" t="s">
        <v>727</v>
      </c>
    </row>
    <row r="9" spans="1:1" customFormat="1" hidden="1">
      <c r="A9" s="1" t="s">
        <v>676</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725</v>
      </c>
    </row>
    <row r="16" spans="1:1" customFormat="1" hidden="1">
      <c r="A16" s="1" t="s">
        <v>465</v>
      </c>
    </row>
    <row r="17" spans="1:1" customFormat="1" hidden="1">
      <c r="A17" s="1" t="s">
        <v>137</v>
      </c>
    </row>
    <row r="18" spans="1:1" customFormat="1" hidden="1">
      <c r="A18" s="1" t="s">
        <v>723</v>
      </c>
    </row>
    <row r="19" spans="1:1" customFormat="1" hidden="1">
      <c r="A19" s="1" t="s">
        <v>677</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678</v>
      </c>
    </row>
    <row r="25" spans="1:1" customFormat="1" hidden="1">
      <c r="A25" s="1" t="s">
        <v>679</v>
      </c>
    </row>
    <row r="26" spans="1:1" customFormat="1" hidden="1">
      <c r="A26" s="1" t="s">
        <v>140</v>
      </c>
    </row>
    <row r="27" spans="1:1" customFormat="1" hidden="1">
      <c r="A27" s="1" t="s">
        <v>141</v>
      </c>
    </row>
    <row r="28" spans="1:1" customFormat="1" hidden="1">
      <c r="A28" s="1" t="s">
        <v>721</v>
      </c>
    </row>
    <row r="29" spans="1:1" customFormat="1" hidden="1">
      <c r="A29" s="1" t="s">
        <v>680</v>
      </c>
    </row>
    <row r="30" spans="1:1" customFormat="1" hidden="1">
      <c r="A30" s="1" t="s">
        <v>681</v>
      </c>
    </row>
    <row r="31" spans="1:1" customFormat="1" hidden="1">
      <c r="A31" s="1" t="s">
        <v>142</v>
      </c>
    </row>
    <row r="32" spans="1:1" customFormat="1" hidden="1">
      <c r="A32" s="1" t="s">
        <v>719</v>
      </c>
    </row>
    <row r="33" spans="1:1" customFormat="1" hidden="1">
      <c r="A33" s="1" t="s">
        <v>717</v>
      </c>
    </row>
    <row r="34" spans="1:1" customFormat="1" hidden="1">
      <c r="A34" s="1" t="s">
        <v>143</v>
      </c>
    </row>
    <row r="35" spans="1:1" customFormat="1" hidden="1">
      <c r="A35" s="1" t="s">
        <v>715</v>
      </c>
    </row>
    <row r="36" spans="1:1" customFormat="1" hidden="1">
      <c r="A36" s="1" t="s">
        <v>713</v>
      </c>
    </row>
    <row r="37" spans="1:1" customFormat="1" hidden="1">
      <c r="A37" s="1" t="s">
        <v>144</v>
      </c>
    </row>
    <row r="38" spans="1:1" customFormat="1" hidden="1">
      <c r="A38" s="1" t="s">
        <v>711</v>
      </c>
    </row>
    <row r="39" spans="1:1" customFormat="1" hidden="1">
      <c r="A39" s="1" t="s">
        <v>145</v>
      </c>
    </row>
    <row r="40" spans="1:1" customFormat="1" hidden="1">
      <c r="A40" s="1" t="s">
        <v>146</v>
      </c>
    </row>
    <row r="41" spans="1:1" customFormat="1" hidden="1">
      <c r="A41" s="1" t="s">
        <v>661</v>
      </c>
    </row>
    <row r="42" spans="1:1" customFormat="1" hidden="1">
      <c r="A42" s="1" t="s">
        <v>147</v>
      </c>
    </row>
    <row r="43" spans="1:1" customFormat="1" hidden="1">
      <c r="A43" s="1" t="s">
        <v>709</v>
      </c>
    </row>
    <row r="44" spans="1:1" customFormat="1" hidden="1">
      <c r="A44" s="1" t="s">
        <v>707</v>
      </c>
    </row>
    <row r="45" spans="1:1" customFormat="1" hidden="1">
      <c r="A45" s="1" t="s">
        <v>148</v>
      </c>
    </row>
    <row r="46" spans="1:1" customFormat="1" hidden="1">
      <c r="A46" s="1" t="s">
        <v>149</v>
      </c>
    </row>
    <row r="47" spans="1:1" customFormat="1" hidden="1">
      <c r="A47" s="1" t="s">
        <v>705</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682</v>
      </c>
    </row>
    <row r="55" spans="1:1" customFormat="1" hidden="1">
      <c r="A55" s="1" t="s">
        <v>470</v>
      </c>
    </row>
    <row r="56" spans="1:1" customFormat="1" hidden="1">
      <c r="A56" s="1" t="s">
        <v>652</v>
      </c>
    </row>
    <row r="57" spans="1:1" customFormat="1" hidden="1">
      <c r="A57" s="1" t="s">
        <v>653</v>
      </c>
    </row>
    <row r="58" spans="1:1" customFormat="1" hidden="1">
      <c r="A58" s="1" t="s">
        <v>154</v>
      </c>
    </row>
    <row r="59" spans="1:1" customFormat="1" hidden="1">
      <c r="A59" s="1" t="s">
        <v>683</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684</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703</v>
      </c>
    </row>
    <row r="82" spans="1:1" customFormat="1" hidden="1">
      <c r="A82" s="1" t="s">
        <v>167</v>
      </c>
    </row>
    <row r="83" spans="1:1" customFormat="1" hidden="1">
      <c r="A83" s="1" t="s">
        <v>168</v>
      </c>
    </row>
    <row r="84" spans="1:1" customFormat="1" hidden="1">
      <c r="A84" s="1" t="s">
        <v>702</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700</v>
      </c>
    </row>
    <row r="109" spans="1:1" customFormat="1" hidden="1">
      <c r="A109" s="1" t="s">
        <v>129</v>
      </c>
    </row>
    <row r="110" spans="1:1" customFormat="1" hidden="1">
      <c r="A110" s="1" t="s">
        <v>193</v>
      </c>
    </row>
    <row r="111" spans="1:1" customFormat="1" hidden="1">
      <c r="A111" s="1" t="s">
        <v>696</v>
      </c>
    </row>
    <row r="112" spans="1:1" customFormat="1" hidden="1">
      <c r="A112" s="1" t="s">
        <v>191</v>
      </c>
    </row>
    <row r="113" spans="1:1" customFormat="1" hidden="1">
      <c r="A113" s="1" t="s">
        <v>697</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694</v>
      </c>
    </row>
    <row r="119" spans="1:1" customFormat="1" hidden="1">
      <c r="A119" s="1" t="s">
        <v>487</v>
      </c>
    </row>
    <row r="120" spans="1:1" customFormat="1" hidden="1">
      <c r="A120" s="1" t="s">
        <v>489</v>
      </c>
    </row>
    <row r="121" spans="1:1" customFormat="1" hidden="1">
      <c r="A121" s="1" t="s">
        <v>194</v>
      </c>
    </row>
    <row r="122" spans="1:1" customFormat="1" hidden="1">
      <c r="A122" s="1" t="s">
        <v>688</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686</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610</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609</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tabSelected="1" workbookViewId="0">
      <pane xSplit="3" ySplit="5" topLeftCell="W6" activePane="bottomRight" state="frozen"/>
      <selection activeCell="A192" sqref="A192:XFD265"/>
      <selection pane="topRight" activeCell="A192" sqref="A192:XFD265"/>
      <selection pane="bottomLeft" activeCell="A192" sqref="A192:XFD265"/>
      <selection pane="bottomRight" activeCell="AE11" sqref="AE11"/>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8" style="118" customWidth="1"/>
    <col min="32" max="16384" width="9" style="118"/>
  </cols>
  <sheetData>
    <row r="1" spans="1:31">
      <c r="E1" s="119"/>
      <c r="G1" s="119"/>
      <c r="AE1" s="118" t="s">
        <v>213</v>
      </c>
    </row>
    <row r="2" spans="1:31">
      <c r="E2" s="119"/>
      <c r="R2" s="119"/>
      <c r="S2" s="119"/>
      <c r="T2" s="119"/>
      <c r="U2" s="119"/>
      <c r="V2" s="119"/>
      <c r="W2" s="119"/>
      <c r="X2" s="119"/>
      <c r="Y2" s="119"/>
      <c r="Z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746</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755</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f>[4]资产负债表!$D$6</f>
        <v>18000000</v>
      </c>
      <c r="D7" s="57"/>
      <c r="E7" s="57"/>
      <c r="F7" s="57"/>
      <c r="G7" s="57"/>
      <c r="H7" s="57"/>
      <c r="I7" s="57"/>
      <c r="J7" s="57"/>
      <c r="K7" s="57"/>
      <c r="L7" s="57"/>
      <c r="M7" s="57"/>
      <c r="N7" s="57"/>
      <c r="O7" s="57"/>
      <c r="P7" s="57"/>
      <c r="Q7" s="57"/>
      <c r="R7" s="57"/>
      <c r="S7" s="57"/>
      <c r="T7" s="57"/>
      <c r="U7" s="57"/>
      <c r="V7" s="57"/>
      <c r="W7" s="57"/>
      <c r="X7" s="57"/>
      <c r="Y7" s="57"/>
      <c r="Z7" s="57">
        <f t="shared" ref="Z7:Z42" si="0">SUM(C7:Y7)</f>
        <v>18000000</v>
      </c>
      <c r="AA7" s="58">
        <f>SUMIF('调整分录-上期'!$D:$D,$A7,'调整分录-上期'!F:F)</f>
        <v>0</v>
      </c>
      <c r="AB7" s="58">
        <f>SUMIF('调整分录-上期'!$D:$D,$A7,'调整分录-上期'!G:G)</f>
        <v>0</v>
      </c>
      <c r="AC7" s="59">
        <f>Z7+AA7-AB7</f>
        <v>18000000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651</v>
      </c>
      <c r="B13" s="54" t="s">
        <v>506</v>
      </c>
      <c r="C13" s="57">
        <f>[4]资产负债表!$D$9</f>
        <v>4000000</v>
      </c>
      <c r="D13" s="57"/>
      <c r="E13" s="57"/>
      <c r="F13" s="57"/>
      <c r="G13" s="57"/>
      <c r="H13" s="57"/>
      <c r="I13" s="57"/>
      <c r="J13" s="57"/>
      <c r="K13" s="57"/>
      <c r="L13" s="57"/>
      <c r="M13" s="57"/>
      <c r="N13" s="57"/>
      <c r="O13" s="57"/>
      <c r="P13" s="57"/>
      <c r="Q13" s="57"/>
      <c r="R13" s="57"/>
      <c r="S13" s="57"/>
      <c r="T13" s="57"/>
      <c r="U13" s="57"/>
      <c r="V13" s="57"/>
      <c r="W13" s="57"/>
      <c r="X13" s="57"/>
      <c r="Y13" s="57"/>
      <c r="Z13" s="57">
        <f t="shared" si="0"/>
        <v>4000000</v>
      </c>
      <c r="AA13" s="58">
        <f>SUMIF('调整分录-上期'!$D:$D,$A13,'调整分录-上期'!F:F)</f>
        <v>0</v>
      </c>
      <c r="AB13" s="58">
        <f>SUMIF('调整分录-上期'!$D:$D,$A13,'调整分录-上期'!G:G)</f>
        <v>0</v>
      </c>
      <c r="AC13" s="59">
        <f t="shared" si="1"/>
        <v>4000000</v>
      </c>
    </row>
    <row r="14" spans="1:31" ht="15" customHeight="1">
      <c r="A14" s="123" t="s">
        <v>728</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4000000</v>
      </c>
      <c r="D15" s="61"/>
      <c r="E15" s="61"/>
      <c r="F15" s="61"/>
      <c r="G15" s="61"/>
      <c r="H15" s="61"/>
      <c r="I15" s="61"/>
      <c r="J15" s="61"/>
      <c r="K15" s="61"/>
      <c r="L15" s="61"/>
      <c r="M15" s="61"/>
      <c r="N15" s="61"/>
      <c r="O15" s="61"/>
      <c r="P15" s="61"/>
      <c r="Q15" s="61"/>
      <c r="R15" s="61"/>
      <c r="S15" s="61"/>
      <c r="T15" s="61"/>
      <c r="U15" s="61"/>
      <c r="V15" s="61"/>
      <c r="W15" s="61"/>
      <c r="X15" s="61"/>
      <c r="Y15" s="61"/>
      <c r="Z15" s="61">
        <f t="shared" si="0"/>
        <v>4000000</v>
      </c>
      <c r="AA15" s="62"/>
      <c r="AB15" s="62"/>
      <c r="AC15" s="63">
        <f>AC13-AC14</f>
        <v>4000000</v>
      </c>
    </row>
    <row r="16" spans="1:31"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f>[4]资产负债表!$D$10</f>
        <v>0</v>
      </c>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2">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f>[4]资产负债表!$D$13</f>
        <v>3000000</v>
      </c>
      <c r="D21" s="57"/>
      <c r="E21" s="57"/>
      <c r="F21" s="57"/>
      <c r="G21" s="57"/>
      <c r="H21" s="57"/>
      <c r="I21" s="57"/>
      <c r="J21" s="57"/>
      <c r="K21" s="57"/>
      <c r="L21" s="57"/>
      <c r="M21" s="57"/>
      <c r="N21" s="57"/>
      <c r="O21" s="57"/>
      <c r="P21" s="57"/>
      <c r="Q21" s="57"/>
      <c r="R21" s="57"/>
      <c r="S21" s="57"/>
      <c r="T21" s="57"/>
      <c r="U21" s="57"/>
      <c r="V21" s="57"/>
      <c r="W21" s="57"/>
      <c r="X21" s="57"/>
      <c r="Y21" s="57"/>
      <c r="Z21" s="57">
        <f t="shared" si="0"/>
        <v>3000000</v>
      </c>
      <c r="AA21" s="58">
        <f>SUMIF('调整分录-上期'!$D:$D,$A21,'调整分录-上期'!F:F)</f>
        <v>0</v>
      </c>
      <c r="AB21" s="58">
        <f>SUMIF('调整分录-上期'!$D:$D,$A21,'调整分录-上期'!G:G)</f>
        <v>0</v>
      </c>
      <c r="AC21" s="59">
        <f t="shared" si="2"/>
        <v>3000000</v>
      </c>
    </row>
    <row r="22" spans="1:29" ht="15" customHeight="1">
      <c r="A22" s="123" t="s">
        <v>726</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C21-C22</f>
        <v>3000000</v>
      </c>
      <c r="D23" s="64"/>
      <c r="E23" s="64"/>
      <c r="F23" s="64"/>
      <c r="G23" s="64"/>
      <c r="H23" s="64"/>
      <c r="I23" s="64"/>
      <c r="J23" s="64"/>
      <c r="K23" s="64"/>
      <c r="L23" s="64"/>
      <c r="M23" s="64"/>
      <c r="N23" s="64"/>
      <c r="O23" s="64"/>
      <c r="P23" s="64"/>
      <c r="Q23" s="64"/>
      <c r="R23" s="64"/>
      <c r="S23" s="64"/>
      <c r="T23" s="64"/>
      <c r="U23" s="64"/>
      <c r="V23" s="64"/>
      <c r="W23" s="64"/>
      <c r="X23" s="64"/>
      <c r="Y23" s="64"/>
      <c r="Z23" s="61">
        <f t="shared" si="0"/>
        <v>3000000</v>
      </c>
      <c r="AA23" s="64"/>
      <c r="AB23" s="64"/>
      <c r="AC23" s="65">
        <f>AC21-AC22</f>
        <v>3000000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f>[4]资产负债表!$D$14</f>
        <v>8000000</v>
      </c>
      <c r="D25" s="57"/>
      <c r="E25" s="57"/>
      <c r="F25" s="57"/>
      <c r="G25" s="57"/>
      <c r="H25" s="57"/>
      <c r="I25" s="57"/>
      <c r="J25" s="57"/>
      <c r="K25" s="57"/>
      <c r="L25" s="57"/>
      <c r="M25" s="57"/>
      <c r="N25" s="57"/>
      <c r="O25" s="57"/>
      <c r="P25" s="57"/>
      <c r="Q25" s="57"/>
      <c r="R25" s="57"/>
      <c r="S25" s="57"/>
      <c r="T25" s="57"/>
      <c r="U25" s="57"/>
      <c r="V25" s="57"/>
      <c r="W25" s="57"/>
      <c r="X25" s="57"/>
      <c r="Y25" s="57"/>
      <c r="Z25" s="57">
        <f t="shared" si="0"/>
        <v>8000000</v>
      </c>
      <c r="AA25" s="58">
        <f>SUMIF('调整分录-上期'!$D:$D,$A25,'调整分录-上期'!F:F)</f>
        <v>0</v>
      </c>
      <c r="AB25" s="58">
        <f>SUMIF('调整分录-上期'!$D:$D,$A25,'调整分录-上期'!G:G)</f>
        <v>0</v>
      </c>
      <c r="AC25" s="59">
        <f t="shared" si="2"/>
        <v>8000000</v>
      </c>
    </row>
    <row r="26" spans="1:29"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C25-C26</f>
        <v>8000000</v>
      </c>
      <c r="D27" s="64"/>
      <c r="E27" s="64"/>
      <c r="F27" s="64"/>
      <c r="G27" s="64"/>
      <c r="H27" s="64"/>
      <c r="I27" s="64"/>
      <c r="J27" s="64"/>
      <c r="K27" s="64"/>
      <c r="L27" s="64"/>
      <c r="M27" s="64"/>
      <c r="N27" s="64"/>
      <c r="O27" s="64"/>
      <c r="P27" s="64"/>
      <c r="Q27" s="64"/>
      <c r="R27" s="64"/>
      <c r="S27" s="64"/>
      <c r="T27" s="64"/>
      <c r="U27" s="64"/>
      <c r="V27" s="64"/>
      <c r="W27" s="64"/>
      <c r="X27" s="64"/>
      <c r="Y27" s="64"/>
      <c r="Z27" s="61">
        <f t="shared" si="0"/>
        <v>8000000</v>
      </c>
      <c r="AA27" s="64"/>
      <c r="AB27" s="64"/>
      <c r="AC27" s="65">
        <f>AC25-AC26</f>
        <v>8000000</v>
      </c>
    </row>
    <row r="28" spans="1:29"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f>[4]资产负债表!$D$17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2"/>
        <v>0</v>
      </c>
    </row>
    <row r="32" spans="1:29" ht="15" customHeight="1">
      <c r="A32" s="123"/>
      <c r="B32" s="60" t="s">
        <v>19</v>
      </c>
      <c r="C32" s="64">
        <f>SUM(C7:C31)-SUM(C13:C14)-SUM(C21:C22)-SUM(C25:C26)</f>
        <v>33000000</v>
      </c>
      <c r="D32" s="64"/>
      <c r="E32" s="64"/>
      <c r="F32" s="64"/>
      <c r="G32" s="64"/>
      <c r="H32" s="64"/>
      <c r="I32" s="64"/>
      <c r="J32" s="64"/>
      <c r="K32" s="64"/>
      <c r="L32" s="64"/>
      <c r="M32" s="64"/>
      <c r="N32" s="64"/>
      <c r="O32" s="64"/>
      <c r="P32" s="64"/>
      <c r="Q32" s="64"/>
      <c r="R32" s="64"/>
      <c r="S32" s="64"/>
      <c r="T32" s="64"/>
      <c r="U32" s="64"/>
      <c r="V32" s="64"/>
      <c r="W32" s="64"/>
      <c r="X32" s="64"/>
      <c r="Y32" s="64"/>
      <c r="Z32" s="61">
        <f t="shared" si="0"/>
        <v>33000000</v>
      </c>
      <c r="AA32" s="64">
        <f>SUM(AA7:AA31)</f>
        <v>0</v>
      </c>
      <c r="AB32" s="64">
        <f>SUM(AB7:AB31)</f>
        <v>0</v>
      </c>
      <c r="AC32" s="65">
        <f>SUM(AC7:AC31)-SUM(AC13:AC14)-SUM(AC21:AC22)-SUM(AC25:AC26)</f>
        <v>33000000</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f>[4]资产负债表!$D$23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2"/>
        <v>0</v>
      </c>
    </row>
    <row r="39" spans="1:30"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0"/>
        <v>0</v>
      </c>
      <c r="AA40" s="64"/>
      <c r="AB40" s="64"/>
      <c r="AC40" s="65">
        <f>AC38-AC39</f>
        <v>0</v>
      </c>
    </row>
    <row r="41" spans="1:30" s="125" customFormat="1" ht="15" customHeight="1">
      <c r="A41" s="129" t="s">
        <v>680</v>
      </c>
      <c r="B41" s="106" t="s">
        <v>659</v>
      </c>
      <c r="C41" s="261">
        <f>[4]资产负债表!$D$20</f>
        <v>8000000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8000000</v>
      </c>
      <c r="AA41" s="58">
        <f>SUMIF('调整分录-上期'!$D:$D,$A41,'调整分录-上期'!F:F)</f>
        <v>0</v>
      </c>
      <c r="AB41" s="58">
        <f>SUMIF('调整分录-上期'!$D:$D,$A41,'调整分录-上期'!G:G)</f>
        <v>0</v>
      </c>
      <c r="AC41" s="59">
        <f t="shared" si="2"/>
        <v>8000000</v>
      </c>
    </row>
    <row r="42" spans="1:30"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f>[4]资产负债表!$D$25</f>
        <v>4000000</v>
      </c>
      <c r="D47" s="57"/>
      <c r="E47" s="57"/>
      <c r="F47" s="57"/>
      <c r="G47" s="57"/>
      <c r="H47" s="57"/>
      <c r="I47" s="57"/>
      <c r="J47" s="57"/>
      <c r="K47" s="57"/>
      <c r="L47" s="57"/>
      <c r="M47" s="57"/>
      <c r="N47" s="57"/>
      <c r="O47" s="57"/>
      <c r="P47" s="57"/>
      <c r="Q47" s="57"/>
      <c r="R47" s="57"/>
      <c r="S47" s="57"/>
      <c r="T47" s="57"/>
      <c r="U47" s="57"/>
      <c r="V47" s="57"/>
      <c r="W47" s="57"/>
      <c r="X47" s="57"/>
      <c r="Y47" s="57"/>
      <c r="Z47" s="57">
        <f t="shared" si="3"/>
        <v>4000000</v>
      </c>
      <c r="AA47" s="58">
        <f>SUMIF('调整分录-上期'!$D:$D,$A47,'调整分录-上期'!F:F)</f>
        <v>0</v>
      </c>
      <c r="AB47" s="58">
        <f>SUMIF('调整分录-上期'!$D:$D,$A47,'调整分录-上期'!G:G)</f>
        <v>0</v>
      </c>
      <c r="AC47" s="59">
        <f t="shared" si="2"/>
        <v>4000000</v>
      </c>
    </row>
    <row r="48" spans="1:30"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SUMIF('调整分录-上期'!$D:$D,$A48,'调整分录-上期'!F:F)</f>
        <v>0</v>
      </c>
      <c r="AB48" s="58">
        <f>SUMIF('调整分录-上期'!$D:$D,$A48,'调整分录-上期'!G:G)</f>
        <v>0</v>
      </c>
      <c r="AC48" s="59">
        <f>Z48+AB48-AA48</f>
        <v>0</v>
      </c>
    </row>
    <row r="49" spans="1:29"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4000000</v>
      </c>
      <c r="D50" s="64"/>
      <c r="E50" s="64"/>
      <c r="F50" s="64"/>
      <c r="G50" s="64"/>
      <c r="H50" s="64"/>
      <c r="I50" s="64"/>
      <c r="J50" s="64"/>
      <c r="K50" s="64"/>
      <c r="L50" s="64"/>
      <c r="M50" s="64"/>
      <c r="N50" s="64"/>
      <c r="O50" s="64"/>
      <c r="P50" s="64"/>
      <c r="Q50" s="64"/>
      <c r="R50" s="64"/>
      <c r="S50" s="64"/>
      <c r="T50" s="64"/>
      <c r="U50" s="64"/>
      <c r="V50" s="64"/>
      <c r="W50" s="64"/>
      <c r="X50" s="64"/>
      <c r="Y50" s="64"/>
      <c r="Z50" s="61">
        <f t="shared" si="3"/>
        <v>4000000</v>
      </c>
      <c r="AA50" s="64"/>
      <c r="AB50" s="64"/>
      <c r="AC50" s="65">
        <f>AC47-AC48-AC49</f>
        <v>4000000</v>
      </c>
    </row>
    <row r="51" spans="1:29" ht="15" customHeight="1">
      <c r="A51" s="123" t="s">
        <v>144</v>
      </c>
      <c r="B51" s="54" t="s">
        <v>45</v>
      </c>
      <c r="C51" s="57">
        <f>[4]资产负债表!$D$26</f>
        <v>5858000</v>
      </c>
      <c r="D51" s="57"/>
      <c r="E51" s="57"/>
      <c r="F51" s="57"/>
      <c r="G51" s="57"/>
      <c r="H51" s="57"/>
      <c r="I51" s="57"/>
      <c r="J51" s="57"/>
      <c r="K51" s="57"/>
      <c r="L51" s="57"/>
      <c r="M51" s="57"/>
      <c r="N51" s="57"/>
      <c r="O51" s="57"/>
      <c r="P51" s="57"/>
      <c r="Q51" s="57"/>
      <c r="R51" s="57"/>
      <c r="S51" s="57"/>
      <c r="T51" s="57"/>
      <c r="U51" s="57"/>
      <c r="V51" s="57"/>
      <c r="W51" s="57"/>
      <c r="X51" s="57"/>
      <c r="Y51" s="57"/>
      <c r="Z51" s="57">
        <f t="shared" si="3"/>
        <v>5858000</v>
      </c>
      <c r="AA51" s="58">
        <f>SUMIF('调整分录-上期'!$D:$D,$A51,'调整分录-上期'!F:F)</f>
        <v>0</v>
      </c>
      <c r="AB51" s="58">
        <f>SUMIF('调整分录-上期'!$D:$D,$A51,'调整分录-上期'!G:G)</f>
        <v>0</v>
      </c>
      <c r="AC51" s="59">
        <f t="shared" si="2"/>
        <v>5858000</v>
      </c>
    </row>
    <row r="52" spans="1:29"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5858000</v>
      </c>
      <c r="D53" s="64"/>
      <c r="E53" s="64"/>
      <c r="F53" s="64"/>
      <c r="G53" s="64"/>
      <c r="H53" s="64"/>
      <c r="I53" s="64"/>
      <c r="J53" s="64"/>
      <c r="K53" s="64"/>
      <c r="L53" s="64"/>
      <c r="M53" s="64"/>
      <c r="N53" s="64"/>
      <c r="O53" s="64"/>
      <c r="P53" s="64"/>
      <c r="Q53" s="64"/>
      <c r="R53" s="64"/>
      <c r="S53" s="64"/>
      <c r="T53" s="64"/>
      <c r="U53" s="64"/>
      <c r="V53" s="64"/>
      <c r="W53" s="64"/>
      <c r="X53" s="64"/>
      <c r="Y53" s="64"/>
      <c r="Z53" s="61">
        <f t="shared" si="3"/>
        <v>5858000</v>
      </c>
      <c r="AA53" s="64"/>
      <c r="AB53" s="64"/>
      <c r="AC53" s="65">
        <f>AC51-AC52</f>
        <v>5858000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f>[4]资产负债表!$D$31</f>
        <v>0</v>
      </c>
      <c r="D57" s="57"/>
      <c r="E57" s="57"/>
      <c r="F57" s="57"/>
      <c r="G57" s="57"/>
      <c r="H57" s="57"/>
      <c r="I57" s="57"/>
      <c r="J57" s="57"/>
      <c r="K57" s="57"/>
      <c r="L57" s="57"/>
      <c r="M57" s="57"/>
      <c r="N57" s="57"/>
      <c r="O57" s="57"/>
      <c r="P57" s="57"/>
      <c r="Q57" s="57"/>
      <c r="R57" s="57"/>
      <c r="S57" s="57"/>
      <c r="T57" s="57"/>
      <c r="U57" s="57"/>
      <c r="V57" s="57"/>
      <c r="W57" s="57"/>
      <c r="X57" s="57"/>
      <c r="Y57" s="57"/>
      <c r="Z57" s="57">
        <f t="shared" si="3"/>
        <v>0</v>
      </c>
      <c r="AA57" s="58">
        <f>SUMIF('调整分录-上期'!$D:$D,$A57,'调整分录-上期'!F:F)</f>
        <v>0</v>
      </c>
      <c r="AB57" s="58">
        <f>SUMIF('调整分录-上期'!$D:$D,$A57,'调整分录-上期'!G:G)</f>
        <v>0</v>
      </c>
      <c r="AC57" s="59">
        <f t="shared" si="2"/>
        <v>0</v>
      </c>
    </row>
    <row r="58" spans="1:29"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SUMIF('调整分录-上期'!$D:$D,$A58,'调整分录-上期'!F:F)</f>
        <v>0</v>
      </c>
      <c r="AB58" s="58">
        <f>SUMIF('调整分录-上期'!$D:$D,$A58,'调整分录-上期'!G:G)</f>
        <v>0</v>
      </c>
      <c r="AC58" s="59">
        <f t="shared" ref="AC58:AC59" si="8">Z58+AB58-AA58</f>
        <v>0</v>
      </c>
    </row>
    <row r="59" spans="1:29"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17858000</v>
      </c>
      <c r="D68" s="64"/>
      <c r="E68" s="64"/>
      <c r="F68" s="64"/>
      <c r="G68" s="64"/>
      <c r="H68" s="64"/>
      <c r="I68" s="64"/>
      <c r="J68" s="64"/>
      <c r="K68" s="64"/>
      <c r="L68" s="64"/>
      <c r="M68" s="64"/>
      <c r="N68" s="64"/>
      <c r="O68" s="64"/>
      <c r="P68" s="64"/>
      <c r="Q68" s="64"/>
      <c r="R68" s="64"/>
      <c r="S68" s="64"/>
      <c r="T68" s="64"/>
      <c r="U68" s="64"/>
      <c r="V68" s="64"/>
      <c r="W68" s="64"/>
      <c r="X68" s="64"/>
      <c r="Y68" s="64"/>
      <c r="Z68" s="61">
        <f t="shared" si="3"/>
        <v>17858000</v>
      </c>
      <c r="AA68" s="64">
        <f>SUM(AA34:AA67)</f>
        <v>0</v>
      </c>
      <c r="AB68" s="64">
        <f>SUM(AB34:AB67)</f>
        <v>0</v>
      </c>
      <c r="AC68" s="65">
        <f>SUM(AC34:AC67)-SUM(AC38:AC39)-SUM(AC43:AC45)-SUM(AC47:AC49)-SUM(AC51:AC52)-SUM(AC57:AC59)-SUM(AC62:AC63)</f>
        <v>17858000</v>
      </c>
    </row>
    <row r="69" spans="1:29" ht="15" customHeight="1">
      <c r="A69" s="123"/>
      <c r="B69" s="60" t="s">
        <v>74</v>
      </c>
      <c r="C69" s="64">
        <f>C32+C68</f>
        <v>50858000</v>
      </c>
      <c r="D69" s="64"/>
      <c r="E69" s="64"/>
      <c r="F69" s="64"/>
      <c r="G69" s="64"/>
      <c r="H69" s="64"/>
      <c r="I69" s="64"/>
      <c r="J69" s="64"/>
      <c r="K69" s="64"/>
      <c r="L69" s="64"/>
      <c r="M69" s="64"/>
      <c r="N69" s="64"/>
      <c r="O69" s="64"/>
      <c r="P69" s="64"/>
      <c r="Q69" s="64"/>
      <c r="R69" s="64"/>
      <c r="S69" s="64"/>
      <c r="T69" s="64"/>
      <c r="U69" s="64"/>
      <c r="V69" s="64"/>
      <c r="W69" s="64"/>
      <c r="X69" s="64"/>
      <c r="Y69" s="64"/>
      <c r="Z69" s="61">
        <f t="shared" si="3"/>
        <v>50858000</v>
      </c>
      <c r="AA69" s="64">
        <f>AA32+AA68</f>
        <v>0</v>
      </c>
      <c r="AB69" s="64">
        <f>AB32+AB68</f>
        <v>0</v>
      </c>
      <c r="AC69" s="65">
        <f>AC32+AC68</f>
        <v>50858000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f>[4]资产负债表!$H$6</f>
        <v>0</v>
      </c>
      <c r="D71" s="57"/>
      <c r="E71" s="57"/>
      <c r="F71" s="57"/>
      <c r="G71" s="57"/>
      <c r="H71" s="57"/>
      <c r="I71" s="57"/>
      <c r="J71" s="57"/>
      <c r="K71" s="57"/>
      <c r="L71" s="57"/>
      <c r="M71" s="57"/>
      <c r="N71" s="57"/>
      <c r="O71" s="57"/>
      <c r="P71" s="57"/>
      <c r="Q71" s="57"/>
      <c r="R71" s="57"/>
      <c r="S71" s="57"/>
      <c r="T71" s="57"/>
      <c r="U71" s="57"/>
      <c r="V71" s="57"/>
      <c r="W71" s="57"/>
      <c r="X71" s="57"/>
      <c r="Y71" s="57"/>
      <c r="Z71" s="57">
        <f t="shared" si="3"/>
        <v>0</v>
      </c>
      <c r="AA71" s="58">
        <f>SUMIF('调整分录-上期'!$D:$D,$A71,'调整分录-上期'!F:F)</f>
        <v>0</v>
      </c>
      <c r="AB71" s="58">
        <f>SUMIF('调整分录-上期'!$D:$D,$A71,'调整分录-上期'!G:G)</f>
        <v>0</v>
      </c>
      <c r="AC71" s="59">
        <f t="shared" ref="AC71:AC120" si="9">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653</v>
      </c>
      <c r="B77" s="54" t="s">
        <v>509</v>
      </c>
      <c r="C77" s="57">
        <f>[4]资产负债表!$H$9</f>
        <v>6000000</v>
      </c>
      <c r="D77" s="57"/>
      <c r="E77" s="57"/>
      <c r="F77" s="57"/>
      <c r="G77" s="57"/>
      <c r="H77" s="57"/>
      <c r="I77" s="57"/>
      <c r="J77" s="57"/>
      <c r="K77" s="57"/>
      <c r="L77" s="57"/>
      <c r="M77" s="57"/>
      <c r="N77" s="57"/>
      <c r="O77" s="57"/>
      <c r="P77" s="57"/>
      <c r="Q77" s="57"/>
      <c r="R77" s="57"/>
      <c r="S77" s="57"/>
      <c r="T77" s="57"/>
      <c r="U77" s="57"/>
      <c r="V77" s="57"/>
      <c r="W77" s="57"/>
      <c r="X77" s="57"/>
      <c r="Y77" s="57"/>
      <c r="Z77" s="57">
        <f t="shared" si="10"/>
        <v>6000000</v>
      </c>
      <c r="AA77" s="58">
        <f>SUMIF('调整分录-上期'!$D:$D,$A77,'调整分录-上期'!F:F)</f>
        <v>0</v>
      </c>
      <c r="AB77" s="58">
        <f>SUMIF('调整分录-上期'!$D:$D,$A77,'调整分录-上期'!G:G)</f>
        <v>0</v>
      </c>
      <c r="AC77" s="59">
        <f t="shared" si="9"/>
        <v>6000000</v>
      </c>
    </row>
    <row r="78" spans="1:29" ht="15" customHeight="1">
      <c r="A78" s="123" t="s">
        <v>154</v>
      </c>
      <c r="B78" s="54" t="s">
        <v>4</v>
      </c>
      <c r="C78" s="57">
        <f>[4]资产负债表!$H$10</f>
        <v>9000000</v>
      </c>
      <c r="D78" s="57"/>
      <c r="E78" s="57"/>
      <c r="F78" s="57"/>
      <c r="G78" s="57"/>
      <c r="H78" s="57"/>
      <c r="I78" s="57"/>
      <c r="J78" s="57"/>
      <c r="K78" s="57"/>
      <c r="L78" s="57"/>
      <c r="M78" s="57"/>
      <c r="N78" s="57"/>
      <c r="O78" s="57"/>
      <c r="P78" s="57"/>
      <c r="Q78" s="57"/>
      <c r="R78" s="57"/>
      <c r="S78" s="57"/>
      <c r="T78" s="57"/>
      <c r="U78" s="57"/>
      <c r="V78" s="57"/>
      <c r="W78" s="57"/>
      <c r="X78" s="57"/>
      <c r="Y78" s="57"/>
      <c r="Z78" s="57">
        <f>SUM(C78:Y78)</f>
        <v>9000000</v>
      </c>
      <c r="AA78" s="58">
        <f>SUMIF('调整分录-上期'!$D:$D,$A78,'调整分录-上期'!F:F)</f>
        <v>0</v>
      </c>
      <c r="AB78" s="58">
        <f>SUMIF('调整分录-上期'!$D:$D,$A78,'调整分录-上期'!G:G)</f>
        <v>0</v>
      </c>
      <c r="AC78" s="59">
        <f t="shared" si="9"/>
        <v>9000000</v>
      </c>
    </row>
    <row r="79" spans="1:29"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f>[4]资产负债表!$H$11</f>
        <v>3000000</v>
      </c>
      <c r="D84" s="57"/>
      <c r="E84" s="57"/>
      <c r="F84" s="57"/>
      <c r="G84" s="57"/>
      <c r="H84" s="57"/>
      <c r="I84" s="57"/>
      <c r="J84" s="57"/>
      <c r="K84" s="57"/>
      <c r="L84" s="57"/>
      <c r="M84" s="57"/>
      <c r="N84" s="57"/>
      <c r="O84" s="57"/>
      <c r="P84" s="57"/>
      <c r="Q84" s="57"/>
      <c r="R84" s="57"/>
      <c r="S84" s="57"/>
      <c r="T84" s="57"/>
      <c r="U84" s="57"/>
      <c r="V84" s="57"/>
      <c r="W84" s="57"/>
      <c r="X84" s="57"/>
      <c r="Y84" s="57"/>
      <c r="Z84" s="57">
        <f t="shared" si="10"/>
        <v>3000000</v>
      </c>
      <c r="AA84" s="58">
        <f>SUMIF('调整分录-上期'!$D:$D,$A84,'调整分录-上期'!F:F)</f>
        <v>0</v>
      </c>
      <c r="AB84" s="58">
        <f>SUMIF('调整分录-上期'!$D:$D,$A84,'调整分录-上期'!G:G)</f>
        <v>0</v>
      </c>
      <c r="AC84" s="59">
        <f t="shared" si="9"/>
        <v>3000000</v>
      </c>
    </row>
    <row r="85" spans="1:29" ht="15" customHeight="1">
      <c r="A85" s="123" t="s">
        <v>156</v>
      </c>
      <c r="B85" s="54" t="s">
        <v>8</v>
      </c>
      <c r="C85" s="57">
        <f>[4]资产负债表!$H$12</f>
        <v>5000000</v>
      </c>
      <c r="D85" s="57"/>
      <c r="E85" s="57"/>
      <c r="F85" s="57"/>
      <c r="G85" s="57"/>
      <c r="H85" s="57"/>
      <c r="I85" s="57"/>
      <c r="J85" s="57"/>
      <c r="K85" s="57"/>
      <c r="L85" s="57"/>
      <c r="M85" s="57"/>
      <c r="N85" s="57"/>
      <c r="O85" s="57"/>
      <c r="P85" s="57"/>
      <c r="Q85" s="57"/>
      <c r="R85" s="57"/>
      <c r="S85" s="57"/>
      <c r="T85" s="57"/>
      <c r="U85" s="57"/>
      <c r="V85" s="57"/>
      <c r="W85" s="57"/>
      <c r="X85" s="57"/>
      <c r="Y85" s="57"/>
      <c r="Z85" s="57">
        <f t="shared" si="10"/>
        <v>5000000</v>
      </c>
      <c r="AA85" s="58">
        <f>SUMIF('调整分录-上期'!$D:$D,$A85,'调整分录-上期'!F:F)</f>
        <v>0</v>
      </c>
      <c r="AB85" s="58">
        <f>SUMIF('调整分录-上期'!$D:$D,$A85,'调整分录-上期'!G:G)</f>
        <v>0</v>
      </c>
      <c r="AC85" s="59">
        <f t="shared" si="9"/>
        <v>5000000</v>
      </c>
    </row>
    <row r="86" spans="1:29" ht="15" customHeight="1">
      <c r="A86" s="123" t="s">
        <v>157</v>
      </c>
      <c r="B86" s="54" t="s">
        <v>10</v>
      </c>
      <c r="C86" s="57">
        <f>[4]资产负债表!$H$15</f>
        <v>4000000</v>
      </c>
      <c r="D86" s="57"/>
      <c r="E86" s="57"/>
      <c r="F86" s="57"/>
      <c r="G86" s="57"/>
      <c r="H86" s="57"/>
      <c r="I86" s="57"/>
      <c r="J86" s="57"/>
      <c r="K86" s="57"/>
      <c r="L86" s="57"/>
      <c r="M86" s="57"/>
      <c r="N86" s="57"/>
      <c r="O86" s="57"/>
      <c r="P86" s="57"/>
      <c r="Q86" s="57"/>
      <c r="R86" s="57"/>
      <c r="S86" s="57"/>
      <c r="T86" s="57"/>
      <c r="U86" s="57"/>
      <c r="V86" s="57"/>
      <c r="W86" s="57"/>
      <c r="X86" s="57"/>
      <c r="Y86" s="57"/>
      <c r="Z86" s="57">
        <f t="shared" si="10"/>
        <v>4000000</v>
      </c>
      <c r="AA86" s="58">
        <f>SUMIF('调整分录-上期'!$D:$D,$A86,'调整分录-上期'!F:F)</f>
        <v>0</v>
      </c>
      <c r="AB86" s="58">
        <f>SUMIF('调整分录-上期'!$D:$D,$A86,'调整分录-上期'!G:G)</f>
        <v>0</v>
      </c>
      <c r="AC86" s="59">
        <f t="shared" si="9"/>
        <v>4000000</v>
      </c>
    </row>
    <row r="87" spans="1:29"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27000000</v>
      </c>
      <c r="D92" s="64"/>
      <c r="E92" s="64"/>
      <c r="F92" s="64"/>
      <c r="G92" s="64"/>
      <c r="H92" s="64"/>
      <c r="I92" s="64"/>
      <c r="J92" s="64"/>
      <c r="K92" s="64"/>
      <c r="L92" s="64"/>
      <c r="M92" s="64"/>
      <c r="N92" s="64"/>
      <c r="O92" s="64"/>
      <c r="P92" s="64"/>
      <c r="Q92" s="64"/>
      <c r="R92" s="64"/>
      <c r="S92" s="64"/>
      <c r="T92" s="64"/>
      <c r="U92" s="64"/>
      <c r="V92" s="64"/>
      <c r="W92" s="64"/>
      <c r="X92" s="64"/>
      <c r="Y92" s="64"/>
      <c r="Z92" s="61">
        <f t="shared" si="10"/>
        <v>27000000</v>
      </c>
      <c r="AA92" s="64">
        <f>SUM(AA71:AA91)</f>
        <v>0</v>
      </c>
      <c r="AB92" s="64">
        <f>SUM(AB71:AB91)</f>
        <v>0</v>
      </c>
      <c r="AC92" s="65">
        <f>SUM(AC71:AC91)</f>
        <v>27000000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f>[4]资产负债表!$H$24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SUMIF('调整分录-上期'!$D:$D,$A102,'调整分录-上期'!F:F)</f>
        <v>0</v>
      </c>
      <c r="AB102" s="58">
        <f>SUMIF('调整分录-上期'!$D:$D,$A102,'调整分录-上期'!G:G)</f>
        <v>0</v>
      </c>
      <c r="AC102" s="59">
        <f t="shared" si="9"/>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row>
    <row r="107" spans="1:29" ht="15" customHeight="1">
      <c r="B107" s="60" t="s">
        <v>39</v>
      </c>
      <c r="C107" s="66">
        <f>C92+C106</f>
        <v>27000000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27000000</v>
      </c>
      <c r="AA107" s="66">
        <f>AA92+AA106</f>
        <v>0</v>
      </c>
      <c r="AB107" s="66">
        <f>AB92+AB106</f>
        <v>0</v>
      </c>
      <c r="AC107" s="67">
        <f>AC92+AC106</f>
        <v>27000000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704</v>
      </c>
      <c r="B110" s="54" t="s">
        <v>49</v>
      </c>
      <c r="C110" s="57">
        <f>[4]资产负债表!$H$31</f>
        <v>6000000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6000000</v>
      </c>
      <c r="AA110" s="58">
        <f>SUMIF('调整分录-上期'!$D:$D,$A110,'调整分录-上期'!F:F)</f>
        <v>0</v>
      </c>
      <c r="AB110" s="58">
        <f>SUMIF('调整分录-上期'!$D:$D,$A110,'调整分录-上期'!G:G)</f>
        <v>0</v>
      </c>
      <c r="AC110" s="59">
        <f t="shared" si="9"/>
        <v>6000000</v>
      </c>
    </row>
    <row r="111" spans="1:29" ht="15" customHeight="1">
      <c r="A111" s="118" t="s">
        <v>167</v>
      </c>
      <c r="B111" s="54" t="s">
        <v>51</v>
      </c>
      <c r="C111" s="57">
        <f>[4]资产负债表!$H$32</f>
        <v>3000000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3000000</v>
      </c>
      <c r="AA111" s="58">
        <f>SUMIF('调整分录-上期'!$D:$D,$A111,'调整分录-上期'!F:F)</f>
        <v>0</v>
      </c>
      <c r="AB111" s="58">
        <f>SUMIF('调整分录-上期'!$D:$D,$A111,'调整分录-上期'!G:G)</f>
        <v>0</v>
      </c>
      <c r="AC111" s="59">
        <f t="shared" si="9"/>
        <v>3000000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0</v>
      </c>
      <c r="AA114" s="58">
        <f>SUMIF('调整分录-上期'!$D:$D,$A114,'调整分录-上期'!F:F)</f>
        <v>0</v>
      </c>
      <c r="AB114" s="58">
        <f>SUMIF('调整分录-上期'!$D:$D,$A114,'调整分录-上期'!G:G)</f>
        <v>0</v>
      </c>
      <c r="AC114" s="59">
        <f t="shared" si="9"/>
        <v>0</v>
      </c>
    </row>
    <row r="115" spans="1:30"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f>[4]资产负债表!$H$33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f>[4]资产负债表!$H$34</f>
        <v>5000000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5000000</v>
      </c>
      <c r="AA118" s="58">
        <f>SUMIF('调整分录-上期'!$D:$D,$A118,'调整分录-上期'!F:F)</f>
        <v>0</v>
      </c>
      <c r="AB118" s="58">
        <f>SUMIF('调整分录-上期'!$D:$D,$A118,'调整分录-上期'!G:G)</f>
        <v>0</v>
      </c>
      <c r="AC118" s="59">
        <f t="shared" si="9"/>
        <v>5000000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f>[4]资产负债表!$H$35</f>
        <v>9858000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9858000</v>
      </c>
      <c r="AA120" s="58">
        <f>AA187</f>
        <v>0</v>
      </c>
      <c r="AB120" s="58">
        <f>AB187</f>
        <v>0</v>
      </c>
      <c r="AC120" s="59">
        <f t="shared" si="9"/>
        <v>9858000</v>
      </c>
    </row>
    <row r="121" spans="1:30" ht="15" customHeight="1">
      <c r="B121" s="60" t="s">
        <v>69</v>
      </c>
      <c r="C121" s="64">
        <f>SUM(C110:C120)-SUM(C112:C113)-2*C115</f>
        <v>23858000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23858000</v>
      </c>
      <c r="AA121" s="64">
        <f>SUM(AA110:AA120)</f>
        <v>0</v>
      </c>
      <c r="AB121" s="64">
        <f>SUM(AB110:AB120)</f>
        <v>0</v>
      </c>
      <c r="AC121" s="65">
        <f>SUM(AC110:AC120)-SUM(AC112:AC113)-AC115</f>
        <v>23858000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23858000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23858000</v>
      </c>
      <c r="AA123" s="64">
        <f t="shared" ref="AA123" si="15">AA121+AA122</f>
        <v>0</v>
      </c>
      <c r="AB123" s="64">
        <f>AB121+AB122</f>
        <v>0</v>
      </c>
      <c r="AC123" s="65">
        <f>AC121+AC122</f>
        <v>23858000</v>
      </c>
    </row>
    <row r="124" spans="1:30" ht="15" customHeight="1">
      <c r="B124" s="68" t="s">
        <v>75</v>
      </c>
      <c r="C124" s="64">
        <f>C107+C123</f>
        <v>50858000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50858000</v>
      </c>
      <c r="AA124" s="64">
        <f t="shared" ref="AA124:AB124" si="16">AA107+AA123</f>
        <v>0</v>
      </c>
      <c r="AB124" s="64">
        <f t="shared" si="16"/>
        <v>0</v>
      </c>
      <c r="AC124" s="65">
        <f>AC107+AC123</f>
        <v>50858000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90000000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90000000</v>
      </c>
      <c r="AA126" s="64"/>
      <c r="AB126" s="64"/>
      <c r="AC126" s="65">
        <f>SUM(AC127:AC130)</f>
        <v>90000000</v>
      </c>
      <c r="AD126" s="119"/>
    </row>
    <row r="127" spans="1:30" ht="15" customHeight="1">
      <c r="A127" s="118" t="s">
        <v>698</v>
      </c>
      <c r="B127" s="54" t="s">
        <v>478</v>
      </c>
      <c r="C127" s="57">
        <f>[4]利润表!$D$5</f>
        <v>90000000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90000000</v>
      </c>
      <c r="AA127" s="58">
        <f>SUMIF('调整分录-上期'!$D:$D,$A127,'调整分录-上期'!F:F)</f>
        <v>0</v>
      </c>
      <c r="AB127" s="58">
        <f>SUMIF('调整分录-上期'!$D:$D,$A127,'调整分录-上期'!G:G)</f>
        <v>0</v>
      </c>
      <c r="AC127" s="59">
        <f>Z127+AB127-AA127</f>
        <v>90000000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72000000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72000000</v>
      </c>
      <c r="AA131" s="64"/>
      <c r="AB131" s="64"/>
      <c r="AC131" s="65">
        <f>SUM(AC132:AC146)-SUM(AC145:AC146)</f>
        <v>72000000</v>
      </c>
    </row>
    <row r="132" spans="1:30" ht="15" customHeight="1">
      <c r="A132" s="118" t="s">
        <v>699</v>
      </c>
      <c r="B132" s="54" t="s">
        <v>479</v>
      </c>
      <c r="C132" s="70">
        <f>[4]利润表!$D$6</f>
        <v>60000000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60000000</v>
      </c>
      <c r="AA132" s="58">
        <f>SUMIF('调整分录-上期'!$D:$D,$A132,'调整分录-上期'!F:F)</f>
        <v>0</v>
      </c>
      <c r="AB132" s="58">
        <f>SUMIF('调整分录-上期'!$D:$D,$A132,'调整分录-上期'!G:G)</f>
        <v>0</v>
      </c>
      <c r="AC132" s="71">
        <f t="shared" ref="AC132:AC146" si="18">Z132+AA132-AB132</f>
        <v>60000000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f>[4]利润表!$D$7</f>
        <v>4000000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4000000</v>
      </c>
      <c r="AA140" s="58">
        <f>SUMIF('调整分录-上期'!$D:$D,$A140,'调整分录-上期'!F:F)</f>
        <v>0</v>
      </c>
      <c r="AB140" s="58">
        <f>SUMIF('调整分录-上期'!$D:$D,$A140,'调整分录-上期'!G:G)</f>
        <v>0</v>
      </c>
      <c r="AC140" s="71">
        <f t="shared" si="18"/>
        <v>4000000</v>
      </c>
    </row>
    <row r="141" spans="1:30" ht="15" customHeight="1">
      <c r="A141" s="118" t="s">
        <v>186</v>
      </c>
      <c r="B141" s="54" t="s">
        <v>105</v>
      </c>
      <c r="C141" s="57">
        <f>[4]利润表!$D$8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0</v>
      </c>
      <c r="AA141" s="58">
        <f>SUMIF('调整分录-上期'!$D:$D,$A141,'调整分录-上期'!F:F)</f>
        <v>0</v>
      </c>
      <c r="AB141" s="58">
        <f>SUMIF('调整分录-上期'!$D:$D,$A141,'调整分录-上期'!G:G)</f>
        <v>0</v>
      </c>
      <c r="AC141" s="71">
        <f t="shared" si="18"/>
        <v>0</v>
      </c>
    </row>
    <row r="142" spans="1:30" ht="15" customHeight="1">
      <c r="A142" s="118" t="s">
        <v>187</v>
      </c>
      <c r="B142" s="54" t="s">
        <v>107</v>
      </c>
      <c r="C142" s="57">
        <f>[4]利润表!$D$9</f>
        <v>5000000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5000000</v>
      </c>
      <c r="AA142" s="58">
        <f>SUMIF('调整分录-上期'!$D:$D,$A142,'调整分录-上期'!F:F)</f>
        <v>0</v>
      </c>
      <c r="AB142" s="58">
        <f>SUMIF('调整分录-上期'!$D:$D,$A142,'调整分录-上期'!G:G)</f>
        <v>0</v>
      </c>
      <c r="AC142" s="71">
        <f t="shared" si="18"/>
        <v>5000000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f>[4]利润表!$D$10</f>
        <v>3000000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3000000</v>
      </c>
      <c r="AA144" s="58">
        <f>SUMIF('调整分录-上期'!$D:$D,$A144,'调整分录-上期'!F:F)</f>
        <v>0</v>
      </c>
      <c r="AB144" s="58">
        <f>SUMIF('调整分录-上期'!$D:$D,$A144,'调整分录-上期'!G:G)</f>
        <v>0</v>
      </c>
      <c r="AC144" s="71">
        <f t="shared" si="18"/>
        <v>3000000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685</v>
      </c>
      <c r="B148" s="54" t="s">
        <v>668</v>
      </c>
      <c r="C148" s="57">
        <f>[4]利润表!$D$13</f>
        <v>4000000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4000000</v>
      </c>
      <c r="AA148" s="58">
        <f>SUMIF('调整分录-上期'!$D:$D,$A148,'调整分录-上期'!F:F)</f>
        <v>0</v>
      </c>
      <c r="AB148" s="58">
        <f>SUMIF('调整分录-上期'!$D:$D,$A148,'调整分录-上期'!G:G)</f>
        <v>0</v>
      </c>
      <c r="AC148" s="59">
        <f t="shared" ref="AC148:AC155" si="20">Z148+AB148-AA148</f>
        <v>4000000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697</v>
      </c>
      <c r="B153" s="54" t="s">
        <v>672</v>
      </c>
      <c r="C153" s="57">
        <f>-[4]利润表!$D$11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0</v>
      </c>
      <c r="AA153" s="58">
        <f>SUMIF('调整分录-上期'!$D:$D,$A153,'调整分录-上期'!F:F)</f>
        <v>0</v>
      </c>
      <c r="AB153" s="58">
        <f>SUMIF('调整分录-上期'!$D:$D,$A153,'调整分录-上期'!G:G)</f>
        <v>0</v>
      </c>
      <c r="AC153" s="59">
        <f t="shared" si="20"/>
        <v>0</v>
      </c>
    </row>
    <row r="154" spans="1:31"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22000000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22000000</v>
      </c>
      <c r="AA156" s="64"/>
      <c r="AB156" s="64"/>
      <c r="AC156" s="65">
        <f>AC126-AC131+SUM(AC147:AC155)-AC149</f>
        <v>22000000</v>
      </c>
    </row>
    <row r="157" spans="1:31" ht="15" customHeight="1">
      <c r="A157" s="118" t="s">
        <v>692</v>
      </c>
      <c r="B157" s="54" t="s">
        <v>114</v>
      </c>
      <c r="C157" s="57">
        <f>[4]利润表!$D$16</f>
        <v>20000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20000</v>
      </c>
      <c r="AA157" s="58">
        <f>SUMIF('调整分录-上期'!$D:$D,$A157,'调整分录-上期'!F:F)</f>
        <v>0</v>
      </c>
      <c r="AB157" s="58">
        <f>SUMIF('调整分录-上期'!$D:$D,$A157,'调整分录-上期'!G:G)</f>
        <v>0</v>
      </c>
      <c r="AC157" s="59">
        <f>Z157+AB157-AA157</f>
        <v>20000</v>
      </c>
    </row>
    <row r="158" spans="1:31" ht="15" customHeight="1">
      <c r="A158" s="118" t="s">
        <v>693</v>
      </c>
      <c r="B158" s="54" t="s">
        <v>115</v>
      </c>
      <c r="C158" s="57">
        <f>[4]利润表!$D$17</f>
        <v>400000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400000</v>
      </c>
      <c r="AA158" s="58">
        <f>SUMIF('调整分录-上期'!$D:$D,$A158,'调整分录-上期'!F:F)</f>
        <v>0</v>
      </c>
      <c r="AB158" s="58">
        <f>SUMIF('调整分录-上期'!$D:$D,$A158,'调整分录-上期'!G:G)</f>
        <v>0</v>
      </c>
      <c r="AC158" s="59">
        <f>Z158+AA158-AB158</f>
        <v>400000</v>
      </c>
    </row>
    <row r="159" spans="1:31" ht="15" customHeight="1">
      <c r="B159" s="60" t="s">
        <v>116</v>
      </c>
      <c r="C159" s="64">
        <f>C156+C157-C158</f>
        <v>21620000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21620000</v>
      </c>
      <c r="AA159" s="64"/>
      <c r="AB159" s="64"/>
      <c r="AC159" s="65">
        <f>AC156+AC157-AC158</f>
        <v>21620000</v>
      </c>
    </row>
    <row r="160" spans="1:31" ht="15" customHeight="1">
      <c r="A160" s="118" t="s">
        <v>695</v>
      </c>
      <c r="B160" s="54" t="s">
        <v>117</v>
      </c>
      <c r="C160" s="57">
        <f>[4]利润表!$D$20</f>
        <v>5600000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5600000</v>
      </c>
      <c r="AA160" s="58">
        <f>SUMIF('调整分录-上期'!$D:$D,$A160,'调整分录-上期'!F:F)</f>
        <v>0</v>
      </c>
      <c r="AB160" s="58">
        <f>SUMIF('调整分录-上期'!$D:$D,$A160,'调整分录-上期'!G:G)</f>
        <v>0</v>
      </c>
      <c r="AC160" s="59">
        <f>Z160+AA160-AB160</f>
        <v>5600000</v>
      </c>
    </row>
    <row r="161" spans="1:31" ht="15" customHeight="1">
      <c r="B161" s="60" t="s">
        <v>118</v>
      </c>
      <c r="C161" s="64">
        <f t="shared" ref="C161" si="22">C159-C160</f>
        <v>16020000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16020000</v>
      </c>
      <c r="AA161" s="64">
        <f>SUM(AA127:AA160)</f>
        <v>0</v>
      </c>
      <c r="AB161" s="64">
        <f>SUM(AB127:AB160)</f>
        <v>0</v>
      </c>
      <c r="AC161" s="65">
        <f t="shared" ref="AC161" si="23">AC159-AC160</f>
        <v>16020000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16020000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16020000</v>
      </c>
      <c r="AA163" s="62"/>
      <c r="AB163" s="62"/>
      <c r="AC163" s="65">
        <f>AC161-AC164</f>
        <v>16020000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16020000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16020000</v>
      </c>
      <c r="AA166" s="62"/>
      <c r="AB166" s="62"/>
      <c r="AC166" s="65">
        <f>AC161-AC167</f>
        <v>16020000</v>
      </c>
    </row>
    <row r="167" spans="1:31" ht="15" customHeight="1">
      <c r="A167" s="118" t="s">
        <v>690</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691</v>
      </c>
      <c r="B168" s="73" t="s">
        <v>77</v>
      </c>
      <c r="C168" s="57">
        <f>[4]利润表!$F$32</f>
        <v>3440000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3440000</v>
      </c>
      <c r="AA168" s="58">
        <f>SUMIF('调整分录-上期'!$D:$D,$A168,'调整分录-上期'!F:F)</f>
        <v>0</v>
      </c>
      <c r="AB168" s="58">
        <f>SUMIF('调整分录-上期'!$D:$D,$A168,'调整分录-上期'!G:G)</f>
        <v>0</v>
      </c>
      <c r="AC168" s="71">
        <f>Z168+AB168-AA168</f>
        <v>3440000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19460000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19460000</v>
      </c>
      <c r="AA171" s="64"/>
      <c r="AB171" s="64"/>
      <c r="AC171" s="65">
        <f>AC166+AC168+AC169</f>
        <v>19460000</v>
      </c>
    </row>
    <row r="172" spans="1:31" ht="15" customHeight="1">
      <c r="A172" s="118" t="s">
        <v>689</v>
      </c>
      <c r="B172" s="73" t="s">
        <v>81</v>
      </c>
      <c r="C172" s="57">
        <f>[4]利润表!$G$27</f>
        <v>1602000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1602000</v>
      </c>
      <c r="AA172" s="58">
        <f>SUMIF('调整分录-上期'!$D:$D,$A172,'调整分录-上期'!F:F)</f>
        <v>0</v>
      </c>
      <c r="AB172" s="58">
        <f>SUMIF('调整分录-上期'!$D:$D,$A172,'调整分录-上期'!G:G)</f>
        <v>0</v>
      </c>
      <c r="AC172" s="59">
        <f>Z172+AA172-AB172</f>
        <v>1602000</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17858000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17858000</v>
      </c>
      <c r="AA179" s="64"/>
      <c r="AB179" s="64"/>
      <c r="AC179" s="65">
        <f>AC171-SUM(AC172:AC178)</f>
        <v>17858000</v>
      </c>
    </row>
    <row r="180" spans="1:30"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f>[4]利润表!$G$28</f>
        <v>8000000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8000000</v>
      </c>
      <c r="AA182" s="95">
        <f>SUMIF('调整分录-上期'!$D:$D,$A182,'调整分录-上期'!F:F)</f>
        <v>0</v>
      </c>
      <c r="AB182" s="95">
        <f>SUMIF('调整分录-上期'!$D:$D,$A182,'调整分录-上期'!G:G)</f>
        <v>0</v>
      </c>
      <c r="AC182" s="96">
        <f t="shared" si="27"/>
        <v>8000000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9858000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9858000</v>
      </c>
      <c r="AA187" s="76">
        <f>AA161+SUM(AA167:AA185)+SUMIF('调整分录-上期'!$D:$D,$A187,'调整分录-上期'!F:F)</f>
        <v>0</v>
      </c>
      <c r="AB187" s="76">
        <f>AB161+SUM(AB167:AB185)+SUMIF('调整分录-上期'!$D:$D,$A187,'调整分录-上期'!G:G)</f>
        <v>0</v>
      </c>
      <c r="AC187" s="77">
        <f>AC179-SUM(AC180:AC186)</f>
        <v>9858000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571</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572</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752</v>
      </c>
      <c r="B196" s="134" t="s">
        <v>751</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573</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574</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575</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576</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577</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578</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579</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580</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581</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582</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583</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584</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586</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587</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588</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589</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611</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590</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753</v>
      </c>
      <c r="B227" s="134" t="s">
        <v>591</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593</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592</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594</v>
      </c>
      <c r="B233" s="141" t="s">
        <v>595</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749</v>
      </c>
      <c r="B234" s="134" t="s">
        <v>748</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750</v>
      </c>
      <c r="B235" s="134" t="s">
        <v>747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596</v>
      </c>
      <c r="B236" s="134" t="s">
        <v>612</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597</v>
      </c>
      <c r="B237" s="134" t="s">
        <v>613</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598</v>
      </c>
      <c r="B238" s="134" t="s">
        <v>545</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599</v>
      </c>
      <c r="B239" s="134" t="s">
        <v>546</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600</v>
      </c>
      <c r="B240" s="134" t="s">
        <v>547</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548</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601</v>
      </c>
      <c r="B242" s="134" t="s">
        <v>549</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602</v>
      </c>
      <c r="B243" s="134" t="s">
        <v>550</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603</v>
      </c>
      <c r="B244" s="134" t="s">
        <v>551</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604</v>
      </c>
      <c r="B245" s="134" t="s">
        <v>552</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605</v>
      </c>
      <c r="B246" s="134" t="s">
        <v>553</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606</v>
      </c>
      <c r="B247" s="134" t="s">
        <v>554</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607</v>
      </c>
      <c r="B248" s="134" t="s">
        <v>555</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608</v>
      </c>
      <c r="B249" s="134" t="s">
        <v>556</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557</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558</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559</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560</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561</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562</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563</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564</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565</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566</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567</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568</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569</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570</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558</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675</v>
      </c>
      <c r="B4" s="157"/>
      <c r="H4" s="160"/>
    </row>
    <row r="5" spans="1:8" customFormat="1" ht="14.25" hidden="1">
      <c r="A5" s="1" t="s">
        <v>134</v>
      </c>
      <c r="B5" s="157"/>
      <c r="H5" s="160"/>
    </row>
    <row r="6" spans="1:8" customFormat="1" ht="14.25" hidden="1">
      <c r="A6" s="1" t="s">
        <v>650</v>
      </c>
      <c r="B6" s="157"/>
      <c r="H6" s="160"/>
    </row>
    <row r="7" spans="1:8" customFormat="1" ht="14.25" hidden="1">
      <c r="A7" s="1" t="s">
        <v>651</v>
      </c>
      <c r="B7" s="157"/>
      <c r="H7" s="160"/>
    </row>
    <row r="8" spans="1:8" customFormat="1" ht="14.25" hidden="1">
      <c r="A8" s="1" t="s">
        <v>727</v>
      </c>
      <c r="B8" s="157"/>
      <c r="H8" s="160"/>
    </row>
    <row r="9" spans="1:8" customFormat="1" ht="14.25" hidden="1">
      <c r="A9" s="1" t="s">
        <v>676</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725</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723</v>
      </c>
      <c r="B18" s="157"/>
      <c r="H18" s="160"/>
    </row>
    <row r="19" spans="1:8" customFormat="1" ht="14.25" hidden="1">
      <c r="A19" s="1" t="s">
        <v>677</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678</v>
      </c>
      <c r="B24" s="157"/>
      <c r="H24" s="160"/>
    </row>
    <row r="25" spans="1:8" customFormat="1" ht="14.25" hidden="1">
      <c r="A25" s="1" t="s">
        <v>679</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721</v>
      </c>
      <c r="B28" s="157"/>
      <c r="H28" s="160"/>
    </row>
    <row r="29" spans="1:8" customFormat="1" ht="14.25" hidden="1">
      <c r="A29" s="1" t="s">
        <v>680</v>
      </c>
      <c r="B29" s="157"/>
      <c r="H29" s="160"/>
    </row>
    <row r="30" spans="1:8" customFormat="1" ht="14.25" hidden="1">
      <c r="A30" s="1" t="s">
        <v>681</v>
      </c>
      <c r="B30" s="157"/>
      <c r="H30" s="160"/>
    </row>
    <row r="31" spans="1:8" customFormat="1" ht="14.25" hidden="1">
      <c r="A31" s="1" t="s">
        <v>142</v>
      </c>
      <c r="B31" s="157"/>
      <c r="H31" s="160"/>
    </row>
    <row r="32" spans="1:8" customFormat="1" ht="14.25" hidden="1">
      <c r="A32" s="1" t="s">
        <v>719</v>
      </c>
      <c r="B32" s="157"/>
      <c r="H32" s="160"/>
    </row>
    <row r="33" spans="1:8" customFormat="1" ht="14.25" hidden="1">
      <c r="A33" s="1" t="s">
        <v>717</v>
      </c>
      <c r="B33" s="157"/>
      <c r="H33" s="160"/>
    </row>
    <row r="34" spans="1:8" customFormat="1" ht="14.25" hidden="1">
      <c r="A34" s="1" t="s">
        <v>143</v>
      </c>
      <c r="B34" s="157"/>
      <c r="H34" s="160"/>
    </row>
    <row r="35" spans="1:8" customFormat="1" ht="14.25" hidden="1">
      <c r="A35" s="1" t="s">
        <v>715</v>
      </c>
      <c r="B35" s="157"/>
      <c r="H35" s="160"/>
    </row>
    <row r="36" spans="1:8" customFormat="1" ht="14.25" hidden="1">
      <c r="A36" s="1" t="s">
        <v>713</v>
      </c>
      <c r="B36" s="157"/>
      <c r="H36" s="160"/>
    </row>
    <row r="37" spans="1:8" customFormat="1" ht="14.25" hidden="1">
      <c r="A37" s="1" t="s">
        <v>144</v>
      </c>
      <c r="B37" s="157"/>
      <c r="H37" s="160"/>
    </row>
    <row r="38" spans="1:8" customFormat="1" ht="14.25" hidden="1">
      <c r="A38" s="1" t="s">
        <v>711</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661</v>
      </c>
      <c r="B41" s="157"/>
      <c r="H41" s="160"/>
    </row>
    <row r="42" spans="1:8" customFormat="1" ht="14.25" hidden="1">
      <c r="A42" s="1" t="s">
        <v>147</v>
      </c>
      <c r="B42" s="157"/>
      <c r="H42" s="160"/>
    </row>
    <row r="43" spans="1:8" customFormat="1" ht="14.25" hidden="1">
      <c r="A43" s="1" t="s">
        <v>709</v>
      </c>
      <c r="B43" s="157"/>
      <c r="H43" s="160"/>
    </row>
    <row r="44" spans="1:8" customFormat="1" ht="14.25" hidden="1">
      <c r="A44" s="1" t="s">
        <v>707</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705</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682</v>
      </c>
      <c r="B54" s="157"/>
      <c r="H54" s="160"/>
    </row>
    <row r="55" spans="1:8" customFormat="1" ht="14.25" hidden="1">
      <c r="A55" s="1" t="s">
        <v>470</v>
      </c>
      <c r="B55" s="157"/>
      <c r="H55" s="160"/>
    </row>
    <row r="56" spans="1:8" customFormat="1" ht="14.25" hidden="1">
      <c r="A56" s="1" t="s">
        <v>652</v>
      </c>
      <c r="B56" s="157"/>
      <c r="H56" s="160"/>
    </row>
    <row r="57" spans="1:8" customFormat="1" ht="14.25" hidden="1">
      <c r="A57" s="1" t="s">
        <v>653</v>
      </c>
      <c r="B57" s="157"/>
      <c r="H57" s="160"/>
    </row>
    <row r="58" spans="1:8" customFormat="1" ht="14.25" hidden="1">
      <c r="A58" s="1" t="s">
        <v>154</v>
      </c>
      <c r="B58" s="157"/>
      <c r="H58" s="160"/>
    </row>
    <row r="59" spans="1:8" customFormat="1" ht="14.25" hidden="1">
      <c r="A59" s="1" t="s">
        <v>683</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684</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703</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702</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700</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696</v>
      </c>
      <c r="B111" s="157"/>
      <c r="H111" s="160"/>
    </row>
    <row r="112" spans="1:8" customFormat="1" ht="14.25" hidden="1">
      <c r="A112" s="1" t="s">
        <v>191</v>
      </c>
      <c r="B112" s="157"/>
      <c r="H112" s="160"/>
    </row>
    <row r="113" spans="1:8" customFormat="1" ht="14.25" hidden="1">
      <c r="A113" s="1" t="s">
        <v>697</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694</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688</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686</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610</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609</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96" activePane="bottomRight" state="frozen"/>
      <selection activeCell="A133" sqref="A133:XFD139"/>
      <selection pane="topRight" activeCell="A133" sqref="A133:XFD139"/>
      <selection pane="bottomLeft" activeCell="A133" sqref="A133:XFD139"/>
      <selection pane="bottomRight" activeCell="AE2" sqref="AE2"/>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614</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615</v>
      </c>
      <c r="AE3" s="121">
        <f>AC120-AC187</f>
        <v>0</v>
      </c>
    </row>
    <row r="4" spans="1:34">
      <c r="B4" s="298" t="s">
        <v>746</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756</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f>[4]资产负债表!$C$6</f>
        <v>20000000</v>
      </c>
      <c r="D7" s="57"/>
      <c r="E7" s="57"/>
      <c r="F7" s="57"/>
      <c r="G7" s="57"/>
      <c r="H7" s="57"/>
      <c r="I7" s="57"/>
      <c r="J7" s="57"/>
      <c r="K7" s="57"/>
      <c r="L7" s="57"/>
      <c r="M7" s="57"/>
      <c r="N7" s="57"/>
      <c r="O7" s="57"/>
      <c r="P7" s="57"/>
      <c r="Q7" s="57"/>
      <c r="R7" s="57"/>
      <c r="S7" s="57"/>
      <c r="T7" s="57"/>
      <c r="U7" s="57"/>
      <c r="V7" s="57"/>
      <c r="W7" s="57"/>
      <c r="X7" s="57"/>
      <c r="Y7" s="57"/>
      <c r="Z7" s="57">
        <f t="shared" ref="Z7:Z38" si="0">SUM(C7:Y7)</f>
        <v>20000000</v>
      </c>
      <c r="AA7" s="58">
        <f>SUMIF('调整分录-本期'!$D:$D,$A7,'调整分录-本期'!F:F)</f>
        <v>0</v>
      </c>
      <c r="AB7" s="58">
        <f>SUMIF('调整分录-本期'!$D:$D,$A7,'调整分录-本期'!G:G)</f>
        <v>0</v>
      </c>
      <c r="AC7" s="59">
        <f>Z7+AA7-AB7</f>
        <v>20000000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651</v>
      </c>
      <c r="B13" s="54" t="s">
        <v>506</v>
      </c>
      <c r="C13" s="57">
        <f>[4]资产负债表!$C$9</f>
        <v>5000000</v>
      </c>
      <c r="D13" s="57"/>
      <c r="E13" s="57"/>
      <c r="F13" s="57"/>
      <c r="G13" s="57"/>
      <c r="H13" s="57"/>
      <c r="I13" s="57"/>
      <c r="J13" s="57"/>
      <c r="K13" s="57"/>
      <c r="L13" s="57"/>
      <c r="M13" s="57"/>
      <c r="N13" s="57"/>
      <c r="O13" s="57"/>
      <c r="P13" s="57"/>
      <c r="Q13" s="57"/>
      <c r="R13" s="57"/>
      <c r="S13" s="57"/>
      <c r="T13" s="57"/>
      <c r="U13" s="57"/>
      <c r="V13" s="57"/>
      <c r="W13" s="57"/>
      <c r="X13" s="57"/>
      <c r="Y13" s="57"/>
      <c r="Z13" s="57">
        <f t="shared" si="0"/>
        <v>5000000</v>
      </c>
      <c r="AA13" s="58">
        <f>SUMIF('调整分录-本期'!$D:$D,$A13,'调整分录-本期'!F:F)</f>
        <v>0</v>
      </c>
      <c r="AB13" s="58">
        <f>SUMIF('调整分录-本期'!$D:$D,$A13,'调整分录-本期'!G:G)</f>
        <v>0</v>
      </c>
      <c r="AC13" s="59">
        <f t="shared" si="1"/>
        <v>5000000</v>
      </c>
      <c r="AD13" s="152"/>
      <c r="AE13" s="119"/>
      <c r="AH13" s="131"/>
    </row>
    <row r="14" spans="1:34" s="125" customFormat="1" ht="15" customHeight="1">
      <c r="A14" s="129" t="s">
        <v>727</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5000000</v>
      </c>
      <c r="D15" s="61"/>
      <c r="E15" s="61"/>
      <c r="F15" s="61"/>
      <c r="G15" s="61"/>
      <c r="H15" s="61"/>
      <c r="I15" s="61"/>
      <c r="J15" s="61"/>
      <c r="K15" s="61"/>
      <c r="L15" s="61"/>
      <c r="M15" s="61"/>
      <c r="N15" s="61"/>
      <c r="O15" s="61"/>
      <c r="P15" s="61"/>
      <c r="Q15" s="61"/>
      <c r="R15" s="61"/>
      <c r="S15" s="61"/>
      <c r="T15" s="61"/>
      <c r="U15" s="61"/>
      <c r="V15" s="61"/>
      <c r="W15" s="61"/>
      <c r="X15" s="61"/>
      <c r="Y15" s="61"/>
      <c r="Z15" s="61">
        <f t="shared" si="0"/>
        <v>5000000</v>
      </c>
      <c r="AA15" s="62"/>
      <c r="AB15" s="62"/>
      <c r="AC15" s="63">
        <f>AC13-AC14</f>
        <v>5000000</v>
      </c>
      <c r="AD15" s="152"/>
      <c r="AE15" s="119"/>
      <c r="AH15" s="131"/>
    </row>
    <row r="16" spans="1:34"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f>[4]资产负债表!$C$10</f>
        <v>0</v>
      </c>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2">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f>[4]资产负债表!$C$13</f>
        <v>6000000</v>
      </c>
      <c r="D21" s="57"/>
      <c r="E21" s="57"/>
      <c r="F21" s="57"/>
      <c r="G21" s="57"/>
      <c r="H21" s="57"/>
      <c r="I21" s="57"/>
      <c r="J21" s="57"/>
      <c r="K21" s="57"/>
      <c r="L21" s="57"/>
      <c r="M21" s="57"/>
      <c r="N21" s="57"/>
      <c r="O21" s="57"/>
      <c r="P21" s="57"/>
      <c r="Q21" s="57"/>
      <c r="R21" s="57"/>
      <c r="S21" s="57"/>
      <c r="T21" s="57"/>
      <c r="U21" s="57"/>
      <c r="V21" s="57"/>
      <c r="W21" s="57"/>
      <c r="X21" s="57"/>
      <c r="Y21" s="57"/>
      <c r="Z21" s="94">
        <f t="shared" si="0"/>
        <v>6000000</v>
      </c>
      <c r="AA21" s="58">
        <f>SUMIF('调整分录-本期'!$D:$D,$A21,'调整分录-本期'!F:F)</f>
        <v>0</v>
      </c>
      <c r="AB21" s="58">
        <f>SUMIF('调整分录-本期'!$D:$D,$A21,'调整分录-本期'!G:G)</f>
        <v>0</v>
      </c>
      <c r="AC21" s="59">
        <f t="shared" si="2"/>
        <v>6000000</v>
      </c>
      <c r="AD21" s="152"/>
      <c r="AE21" s="119"/>
      <c r="AH21" s="131"/>
    </row>
    <row r="22" spans="1:34" s="125" customFormat="1" ht="15" customHeight="1">
      <c r="A22" s="129" t="s">
        <v>725</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6000000</v>
      </c>
      <c r="D23" s="64"/>
      <c r="E23" s="64"/>
      <c r="F23" s="64"/>
      <c r="G23" s="64"/>
      <c r="H23" s="64"/>
      <c r="I23" s="64"/>
      <c r="J23" s="64"/>
      <c r="K23" s="64"/>
      <c r="L23" s="64"/>
      <c r="M23" s="64"/>
      <c r="N23" s="64"/>
      <c r="O23" s="64"/>
      <c r="P23" s="64"/>
      <c r="Q23" s="64"/>
      <c r="R23" s="64"/>
      <c r="S23" s="64"/>
      <c r="T23" s="64"/>
      <c r="U23" s="64"/>
      <c r="V23" s="64"/>
      <c r="W23" s="64"/>
      <c r="X23" s="64"/>
      <c r="Y23" s="64"/>
      <c r="Z23" s="61">
        <f t="shared" si="0"/>
        <v>6000000</v>
      </c>
      <c r="AA23" s="64"/>
      <c r="AB23" s="64"/>
      <c r="AC23" s="65">
        <f>AC21-AC22</f>
        <v>6000000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f>[4]资产负债表!$C$14</f>
        <v>8978767</v>
      </c>
      <c r="D25" s="57"/>
      <c r="E25" s="57"/>
      <c r="F25" s="57"/>
      <c r="G25" s="57"/>
      <c r="H25" s="57"/>
      <c r="I25" s="57"/>
      <c r="J25" s="57"/>
      <c r="K25" s="57"/>
      <c r="L25" s="57"/>
      <c r="M25" s="57"/>
      <c r="N25" s="57"/>
      <c r="O25" s="57"/>
      <c r="P25" s="57"/>
      <c r="Q25" s="57"/>
      <c r="R25" s="57"/>
      <c r="S25" s="57"/>
      <c r="T25" s="57"/>
      <c r="U25" s="57"/>
      <c r="V25" s="57"/>
      <c r="W25" s="57"/>
      <c r="X25" s="57"/>
      <c r="Y25" s="57"/>
      <c r="Z25" s="57">
        <f t="shared" si="0"/>
        <v>8978767</v>
      </c>
      <c r="AA25" s="58">
        <f>SUMIF('调整分录-本期'!$D:$D,$A25,'调整分录-本期'!F:F)</f>
        <v>0</v>
      </c>
      <c r="AB25" s="58">
        <f>SUMIF('调整分录-本期'!$D:$D,$A25,'调整分录-本期'!G:G)</f>
        <v>0</v>
      </c>
      <c r="AC25" s="59">
        <f t="shared" si="2"/>
        <v>8978767</v>
      </c>
      <c r="AD25" s="152"/>
      <c r="AE25" s="119"/>
      <c r="AH25" s="131"/>
    </row>
    <row r="26" spans="1:34" ht="15" customHeight="1">
      <c r="A26" s="123" t="s">
        <v>723</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8978767</v>
      </c>
      <c r="D27" s="64"/>
      <c r="E27" s="64"/>
      <c r="F27" s="64"/>
      <c r="G27" s="64"/>
      <c r="H27" s="64"/>
      <c r="I27" s="64"/>
      <c r="J27" s="64"/>
      <c r="K27" s="64"/>
      <c r="L27" s="64"/>
      <c r="M27" s="64"/>
      <c r="N27" s="64"/>
      <c r="O27" s="64"/>
      <c r="P27" s="64"/>
      <c r="Q27" s="64"/>
      <c r="R27" s="64"/>
      <c r="S27" s="64"/>
      <c r="T27" s="64"/>
      <c r="U27" s="64"/>
      <c r="V27" s="64"/>
      <c r="W27" s="64"/>
      <c r="X27" s="64"/>
      <c r="Y27" s="64"/>
      <c r="Z27" s="61">
        <f t="shared" si="0"/>
        <v>8978767</v>
      </c>
      <c r="AA27" s="64"/>
      <c r="AB27" s="64"/>
      <c r="AC27" s="65">
        <f>AC25-AC26</f>
        <v>8978767</v>
      </c>
      <c r="AD27" s="152"/>
      <c r="AE27" s="119"/>
      <c r="AH27" s="131"/>
    </row>
    <row r="28" spans="1:34"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f>[4]资产负债表!$C$17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39978767</v>
      </c>
      <c r="D32" s="64"/>
      <c r="E32" s="64"/>
      <c r="F32" s="64"/>
      <c r="G32" s="64"/>
      <c r="H32" s="64"/>
      <c r="I32" s="64"/>
      <c r="J32" s="64"/>
      <c r="K32" s="64"/>
      <c r="L32" s="64"/>
      <c r="M32" s="64"/>
      <c r="N32" s="64"/>
      <c r="O32" s="64"/>
      <c r="P32" s="64"/>
      <c r="Q32" s="64"/>
      <c r="R32" s="64"/>
      <c r="S32" s="64"/>
      <c r="T32" s="64"/>
      <c r="U32" s="64"/>
      <c r="V32" s="64"/>
      <c r="W32" s="64"/>
      <c r="X32" s="64"/>
      <c r="Y32" s="64"/>
      <c r="Z32" s="61">
        <f t="shared" si="0"/>
        <v>39978767</v>
      </c>
      <c r="AA32" s="64">
        <f>SUM(AA7:AA31)</f>
        <v>0</v>
      </c>
      <c r="AB32" s="64">
        <f>SUM(AB7:AB31)</f>
        <v>0</v>
      </c>
      <c r="AC32" s="65">
        <f>SUM(AC7:AC31)-SUM(AC13:AC14)-SUM(AC21:AC22)-SUM(AC25:AC26)</f>
        <v>39978767</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f>[4]资产负债表!$C$23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2"/>
        <v>0</v>
      </c>
      <c r="AD38" s="152"/>
      <c r="AE38" s="119"/>
      <c r="AH38" s="131"/>
    </row>
    <row r="39" spans="1:34" ht="15" customHeight="1">
      <c r="A39" s="123" t="s">
        <v>721</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3"/>
        <v>0</v>
      </c>
      <c r="AA40" s="64"/>
      <c r="AB40" s="64"/>
      <c r="AC40" s="65">
        <f>AC38-AC39</f>
        <v>0</v>
      </c>
      <c r="AD40" s="152"/>
      <c r="AE40" s="119"/>
      <c r="AH40" s="131"/>
    </row>
    <row r="41" spans="1:34" s="125" customFormat="1" ht="15" customHeight="1">
      <c r="A41" s="129" t="s">
        <v>680</v>
      </c>
      <c r="B41" s="106" t="s">
        <v>659</v>
      </c>
      <c r="C41" s="57">
        <f>[4]资产负债表!$C$20</f>
        <v>7000000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7000000</v>
      </c>
      <c r="AA41" s="58">
        <f>SUMIF('调整分录-本期'!$D:$D,$A41,'调整分录-本期'!F:F)</f>
        <v>0</v>
      </c>
      <c r="AB41" s="58">
        <f>SUMIF('调整分录-本期'!$D:$D,$A41,'调整分录-本期'!G:G)</f>
        <v>0</v>
      </c>
      <c r="AC41" s="59">
        <f t="shared" si="2"/>
        <v>7000000</v>
      </c>
      <c r="AD41" s="153"/>
      <c r="AE41" s="126"/>
      <c r="AF41" s="130"/>
      <c r="AG41" s="130"/>
      <c r="AH41" s="132"/>
    </row>
    <row r="42" spans="1:34"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719</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717</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f>[4]资产负债表!$C$25</f>
        <v>5102198</v>
      </c>
      <c r="D47" s="57"/>
      <c r="E47" s="57"/>
      <c r="F47" s="57"/>
      <c r="G47" s="57"/>
      <c r="H47" s="57"/>
      <c r="I47" s="57"/>
      <c r="J47" s="57"/>
      <c r="K47" s="57"/>
      <c r="L47" s="57"/>
      <c r="M47" s="57"/>
      <c r="N47" s="57"/>
      <c r="O47" s="57"/>
      <c r="P47" s="57"/>
      <c r="Q47" s="57"/>
      <c r="R47" s="57"/>
      <c r="S47" s="57"/>
      <c r="T47" s="57"/>
      <c r="U47" s="57"/>
      <c r="V47" s="57"/>
      <c r="W47" s="57"/>
      <c r="X47" s="57"/>
      <c r="Y47" s="57"/>
      <c r="Z47" s="57">
        <f t="shared" si="3"/>
        <v>5102198</v>
      </c>
      <c r="AA47" s="58">
        <f>SUMIF('调整分录-本期'!$D:$D,$A47,'调整分录-本期'!F:F)</f>
        <v>0</v>
      </c>
      <c r="AB47" s="58">
        <f>SUMIF('调整分录-本期'!$D:$D,$A47,'调整分录-本期'!G:G)</f>
        <v>0</v>
      </c>
      <c r="AC47" s="59">
        <f t="shared" si="2"/>
        <v>5102198</v>
      </c>
      <c r="AD47" s="152"/>
      <c r="AE47" s="119"/>
      <c r="AH47" s="131"/>
    </row>
    <row r="48" spans="1:34" ht="15" customHeight="1">
      <c r="A48" s="123" t="s">
        <v>715</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SUMIF('调整分录-本期'!$D:$D,$A48,'调整分录-本期'!F:F)</f>
        <v>0</v>
      </c>
      <c r="AB48" s="58">
        <f>SUMIF('调整分录-本期'!$D:$D,$A48,'调整分录-本期'!G:G)</f>
        <v>0</v>
      </c>
      <c r="AC48" s="59">
        <f>Z48+AB48-AA48</f>
        <v>0</v>
      </c>
      <c r="AD48" s="152"/>
      <c r="AE48" s="119"/>
      <c r="AH48" s="131"/>
    </row>
    <row r="49" spans="1:34" ht="15" customHeight="1">
      <c r="A49" s="123" t="s">
        <v>713</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5102198</v>
      </c>
      <c r="D50" s="64"/>
      <c r="E50" s="64"/>
      <c r="F50" s="64"/>
      <c r="G50" s="64"/>
      <c r="H50" s="64"/>
      <c r="I50" s="64"/>
      <c r="J50" s="64"/>
      <c r="K50" s="64"/>
      <c r="L50" s="64"/>
      <c r="M50" s="64"/>
      <c r="N50" s="64"/>
      <c r="O50" s="64"/>
      <c r="P50" s="64"/>
      <c r="Q50" s="64"/>
      <c r="R50" s="64"/>
      <c r="S50" s="64"/>
      <c r="T50" s="64"/>
      <c r="U50" s="64"/>
      <c r="V50" s="64"/>
      <c r="W50" s="64"/>
      <c r="X50" s="64"/>
      <c r="Y50" s="64"/>
      <c r="Z50" s="61">
        <f t="shared" si="3"/>
        <v>5102198</v>
      </c>
      <c r="AA50" s="64"/>
      <c r="AB50" s="64"/>
      <c r="AC50" s="65">
        <f>AC47-AC48-AC49</f>
        <v>5102198</v>
      </c>
      <c r="AD50" s="152"/>
      <c r="AE50" s="119"/>
      <c r="AH50" s="131"/>
    </row>
    <row r="51" spans="1:34" ht="15" customHeight="1">
      <c r="A51" s="123" t="s">
        <v>144</v>
      </c>
      <c r="B51" s="54" t="s">
        <v>45</v>
      </c>
      <c r="C51" s="57">
        <f>[4]资产负债表!$C$26</f>
        <v>14167485</v>
      </c>
      <c r="D51" s="57"/>
      <c r="E51" s="57"/>
      <c r="F51" s="57"/>
      <c r="G51" s="57"/>
      <c r="H51" s="57"/>
      <c r="I51" s="57"/>
      <c r="J51" s="57"/>
      <c r="K51" s="57"/>
      <c r="L51" s="57"/>
      <c r="M51" s="57"/>
      <c r="N51" s="57"/>
      <c r="O51" s="57"/>
      <c r="P51" s="57"/>
      <c r="Q51" s="57"/>
      <c r="R51" s="57"/>
      <c r="S51" s="57"/>
      <c r="T51" s="57"/>
      <c r="U51" s="57"/>
      <c r="V51" s="57"/>
      <c r="W51" s="57"/>
      <c r="X51" s="57"/>
      <c r="Y51" s="57"/>
      <c r="Z51" s="57">
        <f t="shared" si="3"/>
        <v>14167485</v>
      </c>
      <c r="AA51" s="58">
        <f>SUMIF('调整分录-本期'!$D:$D,$A51,'调整分录-本期'!F:F)</f>
        <v>0</v>
      </c>
      <c r="AB51" s="58">
        <f>SUMIF('调整分录-本期'!$D:$D,$A51,'调整分录-本期'!G:G)</f>
        <v>0</v>
      </c>
      <c r="AC51" s="59">
        <f t="shared" si="2"/>
        <v>14167485</v>
      </c>
      <c r="AD51" s="152"/>
      <c r="AE51" s="119"/>
      <c r="AH51" s="131"/>
    </row>
    <row r="52" spans="1:34" ht="15" customHeight="1">
      <c r="A52" s="123" t="s">
        <v>711</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14167485</v>
      </c>
      <c r="D53" s="64"/>
      <c r="E53" s="64"/>
      <c r="F53" s="64"/>
      <c r="G53" s="64"/>
      <c r="H53" s="64"/>
      <c r="I53" s="64"/>
      <c r="J53" s="64"/>
      <c r="K53" s="64"/>
      <c r="L53" s="64"/>
      <c r="M53" s="64"/>
      <c r="N53" s="64"/>
      <c r="O53" s="64"/>
      <c r="P53" s="64"/>
      <c r="Q53" s="64"/>
      <c r="R53" s="64"/>
      <c r="S53" s="64"/>
      <c r="T53" s="64"/>
      <c r="U53" s="64"/>
      <c r="V53" s="64"/>
      <c r="W53" s="64"/>
      <c r="X53" s="64"/>
      <c r="Y53" s="64"/>
      <c r="Z53" s="61">
        <f t="shared" si="3"/>
        <v>14167485</v>
      </c>
      <c r="AA53" s="64"/>
      <c r="AB53" s="64"/>
      <c r="AC53" s="65">
        <f>AC51-AC52</f>
        <v>14167485</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f>[4]资产负债表!$C$31</f>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0</v>
      </c>
      <c r="AA57" s="58">
        <f>SUMIF('调整分录-本期'!$D:$D,$A57,'调整分录-本期'!F:F)</f>
        <v>0</v>
      </c>
      <c r="AB57" s="58">
        <f>SUMIF('调整分录-本期'!$D:$D,$A57,'调整分录-本期'!G:G)</f>
        <v>0</v>
      </c>
      <c r="AC57" s="59">
        <f t="shared" si="2"/>
        <v>0</v>
      </c>
      <c r="AD57" s="152"/>
      <c r="AE57" s="119"/>
      <c r="AH57" s="131"/>
    </row>
    <row r="58" spans="1:34" ht="15" customHeight="1">
      <c r="A58" s="123" t="s">
        <v>709</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SUMIF('调整分录-本期'!$D:$D,$A58,'调整分录-本期'!F:F)</f>
        <v>0</v>
      </c>
      <c r="AB58" s="58">
        <f>SUMIF('调整分录-本期'!$D:$D,$A58,'调整分录-本期'!G:G)</f>
        <v>0</v>
      </c>
      <c r="AC58" s="59">
        <f t="shared" ref="AC58:AC59" si="7">Z58+AB58-AA58</f>
        <v>0</v>
      </c>
      <c r="AD58" s="152"/>
      <c r="AE58" s="119"/>
      <c r="AH58" s="131"/>
    </row>
    <row r="59" spans="1:34" ht="15" customHeight="1">
      <c r="A59" s="123" t="s">
        <v>707</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705</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26269683</v>
      </c>
      <c r="D68" s="64"/>
      <c r="E68" s="64"/>
      <c r="F68" s="64"/>
      <c r="G68" s="64"/>
      <c r="H68" s="64"/>
      <c r="I68" s="64"/>
      <c r="J68" s="64"/>
      <c r="K68" s="64"/>
      <c r="L68" s="64"/>
      <c r="M68" s="64"/>
      <c r="N68" s="64"/>
      <c r="O68" s="64"/>
      <c r="P68" s="64"/>
      <c r="Q68" s="64"/>
      <c r="R68" s="64"/>
      <c r="S68" s="64"/>
      <c r="T68" s="64"/>
      <c r="U68" s="64"/>
      <c r="V68" s="64"/>
      <c r="W68" s="64"/>
      <c r="X68" s="64"/>
      <c r="Y68" s="64"/>
      <c r="Z68" s="61">
        <f t="shared" si="3"/>
        <v>26269683</v>
      </c>
      <c r="AA68" s="64">
        <f>SUM(AA34:AA67)</f>
        <v>0</v>
      </c>
      <c r="AB68" s="64">
        <f>SUM(AB34:AB67)</f>
        <v>0</v>
      </c>
      <c r="AC68" s="65">
        <f>SUM(AC34:AC67)-SUM(AC38:AC39)-SUM(AC43:AC45)-SUM(AC47:AC49)-SUM(AC51:AC52)-SUM(AC57:AC59)-SUM(AC62:AC63)</f>
        <v>26269683</v>
      </c>
      <c r="AD68" s="152"/>
      <c r="AE68" s="119"/>
      <c r="AH68" s="131"/>
    </row>
    <row r="69" spans="1:34" ht="15" customHeight="1">
      <c r="A69" s="123"/>
      <c r="B69" s="60" t="s">
        <v>74</v>
      </c>
      <c r="C69" s="64">
        <f>C32+C68</f>
        <v>66248450</v>
      </c>
      <c r="D69" s="64"/>
      <c r="E69" s="64"/>
      <c r="F69" s="64"/>
      <c r="G69" s="64"/>
      <c r="H69" s="64"/>
      <c r="I69" s="64"/>
      <c r="J69" s="64"/>
      <c r="K69" s="64"/>
      <c r="L69" s="64"/>
      <c r="M69" s="64"/>
      <c r="N69" s="64"/>
      <c r="O69" s="64"/>
      <c r="P69" s="64"/>
      <c r="Q69" s="64"/>
      <c r="R69" s="64"/>
      <c r="S69" s="64"/>
      <c r="T69" s="64"/>
      <c r="U69" s="64"/>
      <c r="V69" s="64"/>
      <c r="W69" s="64"/>
      <c r="X69" s="64"/>
      <c r="Y69" s="64"/>
      <c r="Z69" s="61">
        <f t="shared" si="3"/>
        <v>66248450</v>
      </c>
      <c r="AA69" s="64">
        <f>AA32+AA68</f>
        <v>0</v>
      </c>
      <c r="AB69" s="64">
        <f>AB32+AB68</f>
        <v>0</v>
      </c>
      <c r="AC69" s="65">
        <f>AC32+AC68</f>
        <v>66248450</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f>[4]资产负债表!$G$6</f>
        <v>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0</v>
      </c>
      <c r="AA71" s="58">
        <f>SUMIF('调整分录-本期'!$D:$D,$A71,'调整分录-本期'!F:F)</f>
        <v>0</v>
      </c>
      <c r="AB71" s="58">
        <f>SUMIF('调整分录-本期'!$D:$D,$A71,'调整分录-本期'!G:G)</f>
        <v>0</v>
      </c>
      <c r="AC71" s="59">
        <f t="shared" ref="AC71:AC120" si="9">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653</v>
      </c>
      <c r="B77" s="54" t="s">
        <v>509</v>
      </c>
      <c r="C77" s="57">
        <f>[4]资产负债表!$G$9</f>
        <v>9898985</v>
      </c>
      <c r="D77" s="57"/>
      <c r="E77" s="57"/>
      <c r="F77" s="57"/>
      <c r="G77" s="57"/>
      <c r="H77" s="57"/>
      <c r="I77" s="57"/>
      <c r="J77" s="57"/>
      <c r="K77" s="57"/>
      <c r="L77" s="57"/>
      <c r="M77" s="57"/>
      <c r="N77" s="57"/>
      <c r="O77" s="57"/>
      <c r="P77" s="57"/>
      <c r="Q77" s="57"/>
      <c r="R77" s="57"/>
      <c r="S77" s="57"/>
      <c r="T77" s="57"/>
      <c r="U77" s="57"/>
      <c r="V77" s="57"/>
      <c r="W77" s="57"/>
      <c r="X77" s="57"/>
      <c r="Y77" s="57"/>
      <c r="Z77" s="57">
        <f t="shared" si="8"/>
        <v>9898985</v>
      </c>
      <c r="AA77" s="58">
        <f>SUMIF('调整分录-本期'!$D:$D,$A77,'调整分录-本期'!F:F)</f>
        <v>0</v>
      </c>
      <c r="AB77" s="58">
        <f>SUMIF('调整分录-本期'!$D:$D,$A77,'调整分录-本期'!G:G)</f>
        <v>0</v>
      </c>
      <c r="AC77" s="59">
        <f t="shared" si="9"/>
        <v>9898985</v>
      </c>
      <c r="AD77" s="152"/>
      <c r="AE77" s="119"/>
      <c r="AH77" s="131"/>
    </row>
    <row r="78" spans="1:34" ht="15" customHeight="1">
      <c r="A78" s="123" t="s">
        <v>154</v>
      </c>
      <c r="B78" s="54" t="s">
        <v>4</v>
      </c>
      <c r="C78" s="57">
        <f>[4]资产负债表!$G$10</f>
        <v>8786776</v>
      </c>
      <c r="D78" s="57"/>
      <c r="E78" s="57"/>
      <c r="F78" s="57"/>
      <c r="G78" s="57"/>
      <c r="H78" s="57"/>
      <c r="I78" s="57"/>
      <c r="J78" s="57"/>
      <c r="K78" s="57"/>
      <c r="L78" s="57"/>
      <c r="M78" s="57"/>
      <c r="N78" s="57"/>
      <c r="O78" s="57"/>
      <c r="P78" s="57"/>
      <c r="Q78" s="57"/>
      <c r="R78" s="57"/>
      <c r="S78" s="57"/>
      <c r="T78" s="57"/>
      <c r="U78" s="57"/>
      <c r="V78" s="57"/>
      <c r="W78" s="57"/>
      <c r="X78" s="57"/>
      <c r="Y78" s="57"/>
      <c r="Z78" s="57">
        <f t="shared" si="8"/>
        <v>8786776</v>
      </c>
      <c r="AA78" s="58">
        <f>SUMIF('调整分录-本期'!$D:$D,$A78,'调整分录-本期'!F:F)</f>
        <v>0</v>
      </c>
      <c r="AB78" s="58">
        <f>SUMIF('调整分录-本期'!$D:$D,$A78,'调整分录-本期'!G:G)</f>
        <v>0</v>
      </c>
      <c r="AC78" s="59">
        <f t="shared" si="9"/>
        <v>8786776</v>
      </c>
      <c r="AD78" s="152"/>
      <c r="AE78" s="119"/>
      <c r="AH78" s="131"/>
    </row>
    <row r="79" spans="1:34"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f>[4]资产负债表!$G$11</f>
        <v>4787678</v>
      </c>
      <c r="D84" s="57"/>
      <c r="E84" s="57"/>
      <c r="F84" s="57"/>
      <c r="G84" s="57"/>
      <c r="H84" s="57"/>
      <c r="I84" s="57"/>
      <c r="J84" s="57"/>
      <c r="K84" s="57"/>
      <c r="L84" s="57"/>
      <c r="M84" s="57"/>
      <c r="N84" s="57"/>
      <c r="O84" s="57"/>
      <c r="P84" s="57"/>
      <c r="Q84" s="57"/>
      <c r="R84" s="57"/>
      <c r="S84" s="57"/>
      <c r="T84" s="57"/>
      <c r="U84" s="57"/>
      <c r="V84" s="57"/>
      <c r="W84" s="57"/>
      <c r="X84" s="57"/>
      <c r="Y84" s="57"/>
      <c r="Z84" s="57">
        <f t="shared" si="8"/>
        <v>4787678</v>
      </c>
      <c r="AA84" s="58">
        <f>SUMIF('调整分录-本期'!$D:$D,$A84,'调整分录-本期'!F:F)</f>
        <v>0</v>
      </c>
      <c r="AB84" s="58">
        <f>SUMIF('调整分录-本期'!$D:$D,$A84,'调整分录-本期'!G:G)</f>
        <v>0</v>
      </c>
      <c r="AC84" s="59">
        <f t="shared" si="9"/>
        <v>4787678</v>
      </c>
      <c r="AD84" s="152"/>
      <c r="AE84" s="119"/>
      <c r="AH84" s="131"/>
    </row>
    <row r="85" spans="1:34" ht="15" customHeight="1">
      <c r="A85" s="123" t="s">
        <v>156</v>
      </c>
      <c r="B85" s="54" t="s">
        <v>8</v>
      </c>
      <c r="C85" s="57">
        <f>[4]资产负债表!$G$12</f>
        <v>4657612</v>
      </c>
      <c r="D85" s="57"/>
      <c r="E85" s="57"/>
      <c r="F85" s="57"/>
      <c r="G85" s="57"/>
      <c r="H85" s="57"/>
      <c r="I85" s="57"/>
      <c r="J85" s="57"/>
      <c r="K85" s="57"/>
      <c r="L85" s="57"/>
      <c r="M85" s="57"/>
      <c r="N85" s="57"/>
      <c r="O85" s="57"/>
      <c r="P85" s="57"/>
      <c r="Q85" s="57"/>
      <c r="R85" s="57"/>
      <c r="S85" s="57"/>
      <c r="T85" s="57"/>
      <c r="U85" s="57"/>
      <c r="V85" s="57"/>
      <c r="W85" s="57"/>
      <c r="X85" s="57"/>
      <c r="Y85" s="57"/>
      <c r="Z85" s="57">
        <f t="shared" si="8"/>
        <v>4657612</v>
      </c>
      <c r="AA85" s="58">
        <f>SUMIF('调整分录-本期'!$D:$D,$A85,'调整分录-本期'!F:F)</f>
        <v>0</v>
      </c>
      <c r="AB85" s="58">
        <f>SUMIF('调整分录-本期'!$D:$D,$A85,'调整分录-本期'!G:G)</f>
        <v>0</v>
      </c>
      <c r="AC85" s="59">
        <f t="shared" si="9"/>
        <v>4657612</v>
      </c>
      <c r="AD85" s="152"/>
      <c r="AE85" s="119"/>
      <c r="AH85" s="131"/>
    </row>
    <row r="86" spans="1:34" ht="15" customHeight="1">
      <c r="A86" s="123" t="s">
        <v>157</v>
      </c>
      <c r="B86" s="54" t="s">
        <v>10</v>
      </c>
      <c r="C86" s="57">
        <f>[4]资产负债表!$G$15</f>
        <v>8987256</v>
      </c>
      <c r="D86" s="57"/>
      <c r="E86" s="57"/>
      <c r="F86" s="57"/>
      <c r="G86" s="57"/>
      <c r="H86" s="57"/>
      <c r="I86" s="57"/>
      <c r="J86" s="57"/>
      <c r="K86" s="57"/>
      <c r="L86" s="57"/>
      <c r="M86" s="57"/>
      <c r="N86" s="57"/>
      <c r="O86" s="57"/>
      <c r="P86" s="57"/>
      <c r="Q86" s="57"/>
      <c r="R86" s="57"/>
      <c r="S86" s="57"/>
      <c r="T86" s="57"/>
      <c r="U86" s="57"/>
      <c r="V86" s="57"/>
      <c r="W86" s="57"/>
      <c r="X86" s="57"/>
      <c r="Y86" s="57"/>
      <c r="Z86" s="57">
        <f t="shared" si="8"/>
        <v>8987256</v>
      </c>
      <c r="AA86" s="58">
        <f>SUMIF('调整分录-本期'!$D:$D,$A86,'调整分录-本期'!F:F)</f>
        <v>0</v>
      </c>
      <c r="AB86" s="58">
        <f>SUMIF('调整分录-本期'!$D:$D,$A86,'调整分录-本期'!G:G)</f>
        <v>0</v>
      </c>
      <c r="AC86" s="59">
        <f t="shared" si="9"/>
        <v>8987256</v>
      </c>
      <c r="AD86" s="152"/>
      <c r="AE86" s="119"/>
      <c r="AH86" s="131"/>
    </row>
    <row r="87" spans="1:34"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37118307</v>
      </c>
      <c r="D92" s="64"/>
      <c r="E92" s="64"/>
      <c r="F92" s="64"/>
      <c r="G92" s="64"/>
      <c r="H92" s="64"/>
      <c r="I92" s="64"/>
      <c r="J92" s="64"/>
      <c r="K92" s="64"/>
      <c r="L92" s="64"/>
      <c r="M92" s="64"/>
      <c r="N92" s="64"/>
      <c r="O92" s="64"/>
      <c r="P92" s="64"/>
      <c r="Q92" s="64"/>
      <c r="R92" s="64"/>
      <c r="S92" s="64"/>
      <c r="T92" s="64"/>
      <c r="U92" s="64"/>
      <c r="V92" s="64"/>
      <c r="W92" s="64"/>
      <c r="X92" s="64"/>
      <c r="Y92" s="64"/>
      <c r="Z92" s="61">
        <f t="shared" si="8"/>
        <v>37118307</v>
      </c>
      <c r="AA92" s="64">
        <f>SUM(AA71:AA91)</f>
        <v>0</v>
      </c>
      <c r="AB92" s="64">
        <f>SUM(AB71:AB91)</f>
        <v>0</v>
      </c>
      <c r="AC92" s="65">
        <f>SUM(AC71:AC91)</f>
        <v>37118307</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f>[4]资产负债表!$G$24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37118307</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37118307</v>
      </c>
      <c r="AA107" s="66">
        <f>AA92+AA106</f>
        <v>0</v>
      </c>
      <c r="AB107" s="66">
        <f>AB92+AB106</f>
        <v>0</v>
      </c>
      <c r="AC107" s="67">
        <f>AC92+AC106</f>
        <v>37118307</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703</v>
      </c>
      <c r="B110" s="54" t="s">
        <v>49</v>
      </c>
      <c r="C110" s="57">
        <f>[4]资产负债表!$G$31</f>
        <v>6000000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6000000</v>
      </c>
      <c r="AA110" s="58">
        <f>SUMIF('调整分录-本期'!$D:$D,$A110,'调整分录-本期'!F:F)</f>
        <v>0</v>
      </c>
      <c r="AB110" s="58">
        <f>SUMIF('调整分录-本期'!$D:$D,$A110,'调整分录-本期'!G:G)</f>
        <v>0</v>
      </c>
      <c r="AC110" s="59">
        <f t="shared" si="9"/>
        <v>6000000</v>
      </c>
      <c r="AD110" s="152"/>
      <c r="AE110" s="119"/>
      <c r="AH110" s="131"/>
    </row>
    <row r="111" spans="1:34" ht="15" customHeight="1">
      <c r="A111" s="118" t="s">
        <v>167</v>
      </c>
      <c r="B111" s="54" t="s">
        <v>51</v>
      </c>
      <c r="C111" s="57">
        <f>[4]资产负债表!$G$32</f>
        <v>3000000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3000000</v>
      </c>
      <c r="AA111" s="58">
        <f>SUMIF('调整分录-本期'!$D:$D,$A111,'调整分录-本期'!F:F)</f>
        <v>0</v>
      </c>
      <c r="AB111" s="58">
        <f>SUMIF('调整分录-本期'!$D:$D,$A111,'调整分录-本期'!G:G)</f>
        <v>0</v>
      </c>
      <c r="AC111" s="59">
        <f t="shared" si="9"/>
        <v>3000000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0</v>
      </c>
      <c r="AA114" s="58">
        <f>SUMIF('调整分录-本期'!$D:$D,$A114,'调整分录-本期'!F:F)</f>
        <v>0</v>
      </c>
      <c r="AB114" s="58">
        <f>SUMIF('调整分录-本期'!$D:$D,$A114,'调整分录-本期'!G:G)</f>
        <v>0</v>
      </c>
      <c r="AC114" s="59">
        <f t="shared" si="9"/>
        <v>0</v>
      </c>
      <c r="AD114" s="152"/>
      <c r="AE114" s="119"/>
      <c r="AH114" s="131"/>
    </row>
    <row r="115" spans="1:34"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f>[4]资产负债表!$G$33</f>
        <v>500000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500000</v>
      </c>
      <c r="AA116" s="58">
        <f>SUMIF('调整分录-本期'!$D:$D,$A116,'调整分录-本期'!F:F)</f>
        <v>0</v>
      </c>
      <c r="AB116" s="58">
        <f>SUMIF('调整分录-本期'!$D:$D,$A116,'调整分录-本期'!G:G)</f>
        <v>0</v>
      </c>
      <c r="AC116" s="59">
        <f t="shared" si="9"/>
        <v>500000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f>[4]资产负债表!$G$34</f>
        <v>5677214.2999999998</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5677214.2999999998</v>
      </c>
      <c r="AA118" s="58">
        <f>SUMIF('调整分录-本期'!$D:$D,$A118,'调整分录-本期'!F:F)</f>
        <v>0</v>
      </c>
      <c r="AB118" s="58">
        <f>SUMIF('调整分录-本期'!$D:$D,$A118,'调整分录-本期'!G:G)</f>
        <v>0</v>
      </c>
      <c r="AC118" s="59">
        <f t="shared" si="9"/>
        <v>5677214.2999999998</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f>[4]资产负债表!$G$35</f>
        <v>13952928.699999999</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13952928.699999999</v>
      </c>
      <c r="AA120" s="58">
        <f>AA187</f>
        <v>0</v>
      </c>
      <c r="AB120" s="58">
        <f>AB187</f>
        <v>0</v>
      </c>
      <c r="AC120" s="59">
        <f t="shared" si="9"/>
        <v>13952928.699999999</v>
      </c>
      <c r="AD120" s="152"/>
      <c r="AE120" s="119"/>
      <c r="AH120" s="131"/>
    </row>
    <row r="121" spans="1:34" ht="15" customHeight="1">
      <c r="B121" s="60" t="s">
        <v>69</v>
      </c>
      <c r="C121" s="64">
        <f>SUM(C110:C120)-SUM(C112:C113)-2*C115</f>
        <v>29130143</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29130143</v>
      </c>
      <c r="AA121" s="64">
        <f>SUM(AA110:AA120)</f>
        <v>0</v>
      </c>
      <c r="AB121" s="64">
        <f>SUM(AB110:AB120)</f>
        <v>0</v>
      </c>
      <c r="AC121" s="65">
        <f>SUM(AC110:AC120)-SUM(AC112:AC113)-2*AC115</f>
        <v>29130143</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29130143</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29130143</v>
      </c>
      <c r="AA123" s="64">
        <f t="shared" ref="AA123:AB123" si="11">AA121+AA122</f>
        <v>0</v>
      </c>
      <c r="AB123" s="64">
        <f t="shared" si="11"/>
        <v>0</v>
      </c>
      <c r="AC123" s="65">
        <f>AC121+AC122</f>
        <v>29130143</v>
      </c>
      <c r="AD123" s="152"/>
      <c r="AE123" s="119"/>
      <c r="AH123" s="131"/>
    </row>
    <row r="124" spans="1:34" ht="15" customHeight="1">
      <c r="B124" s="68" t="s">
        <v>75</v>
      </c>
      <c r="C124" s="64">
        <f>C107+C123</f>
        <v>66248450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66248450</v>
      </c>
      <c r="AA124" s="64">
        <f t="shared" ref="AA124:AB124" si="12">AA107+AA123</f>
        <v>0</v>
      </c>
      <c r="AB124" s="64">
        <f t="shared" si="12"/>
        <v>0</v>
      </c>
      <c r="AC124" s="65">
        <f>AC107+AC123</f>
        <v>66248450</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100000000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100000000</v>
      </c>
      <c r="AA126" s="64"/>
      <c r="AB126" s="64"/>
      <c r="AC126" s="65">
        <f>SUM(AC127:AC130)</f>
        <v>100000000</v>
      </c>
      <c r="AD126" s="152"/>
      <c r="AE126" s="119"/>
      <c r="AH126" s="131"/>
    </row>
    <row r="127" spans="1:34" ht="15" customHeight="1">
      <c r="A127" s="118" t="s">
        <v>481</v>
      </c>
      <c r="B127" s="54" t="s">
        <v>478</v>
      </c>
      <c r="C127" s="57">
        <f>[4]利润表!$C$5</f>
        <v>100000000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100000000</v>
      </c>
      <c r="AA127" s="58">
        <f>SUMIF('调整分录-本期'!$D:$D,$A127,'调整分录-本期'!F:F)</f>
        <v>0</v>
      </c>
      <c r="AB127" s="58">
        <f>SUMIF('调整分录-本期'!$D:$D,$A127,'调整分录-本期'!G:G)</f>
        <v>0</v>
      </c>
      <c r="AC127" s="59">
        <f>Z127+AB127-AA127</f>
        <v>100000000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91427857</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91427857</v>
      </c>
      <c r="AA131" s="64"/>
      <c r="AB131" s="64"/>
      <c r="AC131" s="65">
        <f>SUM(AC132:AC146)-SUM(AC145:AC146)</f>
        <v>91427857</v>
      </c>
      <c r="AD131" s="152"/>
      <c r="AE131" s="119"/>
      <c r="AH131" s="131"/>
    </row>
    <row r="132" spans="1:34" ht="15" customHeight="1">
      <c r="A132" s="118" t="s">
        <v>482</v>
      </c>
      <c r="B132" s="54" t="s">
        <v>479</v>
      </c>
      <c r="C132" s="70">
        <f>[4]利润表!$C$6</f>
        <v>80000000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80000000</v>
      </c>
      <c r="AA132" s="58">
        <f>SUMIF('调整分录-本期'!$D:$D,$A132,'调整分录-本期'!F:F)</f>
        <v>0</v>
      </c>
      <c r="AB132" s="58">
        <f>SUMIF('调整分录-本期'!$D:$D,$A132,'调整分录-本期'!G:G)</f>
        <v>0</v>
      </c>
      <c r="AC132" s="71">
        <f t="shared" ref="AC132:AC146" si="15">Z132+AA132-AB132</f>
        <v>80000000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f>[4]利润表!$C$7</f>
        <v>3437762</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3437762</v>
      </c>
      <c r="AA140" s="58">
        <f>SUMIF('调整分录-本期'!$D:$D,$A140,'调整分录-本期'!F:F)</f>
        <v>0</v>
      </c>
      <c r="AB140" s="58">
        <f>SUMIF('调整分录-本期'!$D:$D,$A140,'调整分录-本期'!G:G)</f>
        <v>0</v>
      </c>
      <c r="AC140" s="71">
        <f t="shared" si="15"/>
        <v>3437762</v>
      </c>
      <c r="AD140" s="152"/>
      <c r="AE140" s="119"/>
      <c r="AH140" s="131"/>
    </row>
    <row r="141" spans="1:34" ht="15" customHeight="1">
      <c r="A141" s="118" t="s">
        <v>186</v>
      </c>
      <c r="B141" s="54" t="s">
        <v>105</v>
      </c>
      <c r="C141" s="57">
        <f>[4]利润表!$C$8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0</v>
      </c>
      <c r="AA141" s="58">
        <f>SUMIF('调整分录-本期'!$D:$D,$A141,'调整分录-本期'!F:F)</f>
        <v>0</v>
      </c>
      <c r="AB141" s="58">
        <f>SUMIF('调整分录-本期'!$D:$D,$A141,'调整分录-本期'!G:G)</f>
        <v>0</v>
      </c>
      <c r="AC141" s="71">
        <f t="shared" si="15"/>
        <v>0</v>
      </c>
      <c r="AD141" s="152"/>
      <c r="AE141" s="119"/>
      <c r="AH141" s="131"/>
    </row>
    <row r="142" spans="1:34" ht="15" customHeight="1">
      <c r="A142" s="118" t="s">
        <v>187</v>
      </c>
      <c r="B142" s="54" t="s">
        <v>107</v>
      </c>
      <c r="C142" s="57">
        <f>[4]利润表!$C$9</f>
        <v>6762223</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6762223</v>
      </c>
      <c r="AA142" s="58">
        <f>SUMIF('调整分录-本期'!$D:$D,$A142,'调整分录-本期'!F:F)</f>
        <v>0</v>
      </c>
      <c r="AB142" s="58">
        <f>SUMIF('调整分录-本期'!$D:$D,$A142,'调整分录-本期'!G:G)</f>
        <v>0</v>
      </c>
      <c r="AC142" s="71">
        <f t="shared" si="15"/>
        <v>6762223</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f>[4]利润表!$C$10</f>
        <v>1227872</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1227872</v>
      </c>
      <c r="AA144" s="58">
        <f>SUMIF('调整分录-本期'!$D:$D,$A144,'调整分录-本期'!F:F)</f>
        <v>0</v>
      </c>
      <c r="AB144" s="58">
        <f>SUMIF('调整分录-本期'!$D:$D,$A144,'调整分录-本期'!G:G)</f>
        <v>0</v>
      </c>
      <c r="AC144" s="71">
        <f t="shared" si="15"/>
        <v>1227872</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700</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668</v>
      </c>
      <c r="C148" s="57">
        <f>[4]利润表!$C$13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0</v>
      </c>
      <c r="AA148" s="58">
        <f>SUMIF('调整分录-本期'!$D:$D,$A148,'调整分录-本期'!F:F)</f>
        <v>0</v>
      </c>
      <c r="AB148" s="58">
        <f>SUMIF('调整分录-本期'!$D:$D,$A148,'调整分录-本期'!G:G)</f>
        <v>0</v>
      </c>
      <c r="AC148" s="59">
        <f t="shared" ref="AC148:AC155" si="1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697</v>
      </c>
      <c r="B153" s="54" t="s">
        <v>672</v>
      </c>
      <c r="C153" s="57">
        <f>-[4]利润表!$C$11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0</v>
      </c>
      <c r="AA153" s="58">
        <f>SUMIF('调整分录-本期'!$D:$D,$A153,'调整分录-本期'!F:F)</f>
        <v>0</v>
      </c>
      <c r="AB153" s="58">
        <f>SUMIF('调整分录-本期'!$D:$D,$A153,'调整分录-本期'!G:G)</f>
        <v>0</v>
      </c>
      <c r="AC153" s="59">
        <f t="shared" si="16"/>
        <v>0</v>
      </c>
      <c r="AD153" s="152"/>
      <c r="AH153" s="131"/>
    </row>
    <row r="154" spans="1:34"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8572143</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8572143</v>
      </c>
      <c r="AA156" s="64"/>
      <c r="AB156" s="64"/>
      <c r="AC156" s="65">
        <f>AC126-AC131+SUM(AC147:AC155)-AC149</f>
        <v>8572143</v>
      </c>
      <c r="AD156" s="152"/>
      <c r="AH156" s="131"/>
    </row>
    <row r="157" spans="1:34" ht="15" customHeight="1">
      <c r="A157" s="118" t="s">
        <v>483</v>
      </c>
      <c r="B157" s="54" t="s">
        <v>114</v>
      </c>
      <c r="C157" s="57">
        <f>[4]利润表!$C$16</f>
        <v>800000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800000</v>
      </c>
      <c r="AA157" s="58">
        <f>SUMIF('调整分录-本期'!$D:$D,$A157,'调整分录-本期'!F:F)</f>
        <v>0</v>
      </c>
      <c r="AB157" s="58">
        <f>SUMIF('调整分录-本期'!$D:$D,$A157,'调整分录-本期'!G:G)</f>
        <v>0</v>
      </c>
      <c r="AC157" s="59">
        <f>Z157+AB157-AA157</f>
        <v>800000</v>
      </c>
      <c r="AD157" s="152"/>
      <c r="AH157" s="131"/>
    </row>
    <row r="158" spans="1:34" ht="15" customHeight="1">
      <c r="A158" s="118" t="s">
        <v>484</v>
      </c>
      <c r="B158" s="54" t="s">
        <v>115</v>
      </c>
      <c r="C158" s="57">
        <f>[4]利润表!$C$17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C156+C157-C158</f>
        <v>9372143</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9372143</v>
      </c>
      <c r="AA159" s="64"/>
      <c r="AB159" s="64"/>
      <c r="AC159" s="65">
        <f>AC156+AC157-AC158</f>
        <v>9372143</v>
      </c>
      <c r="AD159" s="152"/>
      <c r="AH159" s="131"/>
    </row>
    <row r="160" spans="1:34" ht="15" customHeight="1">
      <c r="A160" s="118" t="s">
        <v>694</v>
      </c>
      <c r="B160" s="54" t="s">
        <v>117</v>
      </c>
      <c r="C160" s="57">
        <f>[4]利润表!$C$20</f>
        <v>2600000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2600000</v>
      </c>
      <c r="AA160" s="58">
        <f>SUMIF('调整分录-本期'!$D:$D,$A160,'调整分录-本期'!F:F)</f>
        <v>0</v>
      </c>
      <c r="AB160" s="58">
        <f>SUMIF('调整分录-本期'!$D:$D,$A160,'调整分录-本期'!G:G)</f>
        <v>0</v>
      </c>
      <c r="AC160" s="59">
        <f>Z160+AA160-AB160</f>
        <v>2600000</v>
      </c>
      <c r="AD160" s="152"/>
      <c r="AH160" s="131"/>
    </row>
    <row r="161" spans="1:34" ht="15" customHeight="1">
      <c r="B161" s="60" t="s">
        <v>118</v>
      </c>
      <c r="C161" s="64">
        <f t="shared" ref="C161" si="18">C159-C160</f>
        <v>6772143</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6772143</v>
      </c>
      <c r="AA161" s="64">
        <f>SUM(AA127:AA160)</f>
        <v>0</v>
      </c>
      <c r="AB161" s="64">
        <f>SUM(AB127:AB160)</f>
        <v>0</v>
      </c>
      <c r="AC161" s="65">
        <f t="shared" ref="AC161" si="19">AC159-AC160</f>
        <v>6772143</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6772143</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6772143</v>
      </c>
      <c r="AA163" s="64"/>
      <c r="AB163" s="64"/>
      <c r="AC163" s="65">
        <f>AC161-AC164</f>
        <v>6772143</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6772143</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6772143</v>
      </c>
      <c r="AA166" s="64"/>
      <c r="AB166" s="64"/>
      <c r="AC166" s="65">
        <f>AC161-AC167</f>
        <v>6772143</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[4]资产负债表!$H$35</f>
        <v>9858000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9858000</v>
      </c>
      <c r="AA168" s="58">
        <f>SUMIF('调整分录-本期'!$D:$D,$A168,'调整分录-本期'!F:F)</f>
        <v>0</v>
      </c>
      <c r="AB168" s="58">
        <f>SUMIF('调整分录-本期'!$D:$D,$A168,'调整分录-本期'!G:G)</f>
        <v>0</v>
      </c>
      <c r="AC168" s="71">
        <f>Z168+AB168-AA168</f>
        <v>9858000</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16630143</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16630143</v>
      </c>
      <c r="AA171" s="64"/>
      <c r="AB171" s="64"/>
      <c r="AC171" s="65">
        <f>AC166+AC168+AC169</f>
        <v>16630143</v>
      </c>
      <c r="AD171" s="152"/>
      <c r="AE171" s="119"/>
      <c r="AH171" s="131"/>
    </row>
    <row r="172" spans="1:34" ht="15" customHeight="1">
      <c r="A172" s="118" t="s">
        <v>688</v>
      </c>
      <c r="B172" s="73" t="s">
        <v>81</v>
      </c>
      <c r="C172" s="57">
        <f>[4]利润表!$F$27</f>
        <v>677214.3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677214.3</v>
      </c>
      <c r="AA172" s="58">
        <f>SUMIF('调整分录-本期'!$D:$D,$A172,'调整分录-本期'!F:F)</f>
        <v>0</v>
      </c>
      <c r="AB172" s="58">
        <f>SUMIF('调整分录-本期'!$D:$D,$A172,'调整分录-本期'!G:G)</f>
        <v>0</v>
      </c>
      <c r="AC172" s="59">
        <f>Z172+AA172-AB172</f>
        <v>677214.3</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15952928.699999999</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15952928.699999999</v>
      </c>
      <c r="AA179" s="64"/>
      <c r="AB179" s="64"/>
      <c r="AC179" s="65">
        <f>AC171-SUM(AC172:AC178)</f>
        <v>15952928.699999999</v>
      </c>
      <c r="AD179" s="152"/>
      <c r="AH179" s="131"/>
    </row>
    <row r="180" spans="1:34" ht="15" customHeight="1">
      <c r="A180" s="118" t="s">
        <v>686</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f>[4]利润表!$F$28</f>
        <v>2000000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2000000</v>
      </c>
      <c r="AA182" s="95">
        <f>SUMIF('调整分录-本期'!$D:$D,$A182,'调整分录-本期'!F:F)</f>
        <v>0</v>
      </c>
      <c r="AB182" s="95">
        <f>SUMIF('调整分录-本期'!$D:$D,$A182,'调整分录-本期'!G:G)</f>
        <v>0</v>
      </c>
      <c r="AC182" s="96">
        <f t="shared" si="22"/>
        <v>2000000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13952928.699999999</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13952928.699999999</v>
      </c>
      <c r="AA187" s="76">
        <f>AA161+SUM(AA167:AA185)+SUMIF('调整分录-本期'!$D:$D,$A187,'调整分录-本期'!F:F)</f>
        <v>0</v>
      </c>
      <c r="AB187" s="76">
        <f>AB161+SUM(AB167:AB185)+SUMIF('调整分录-本期'!$D:$D,$A187,'调整分录-本期'!G:G)</f>
        <v>0</v>
      </c>
      <c r="AC187" s="77">
        <f>AC179-SUM(AC180:AC186)</f>
        <v>13952928.699999999</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757</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758</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118"/>
      <c r="AF194" s="118"/>
      <c r="AG194" s="118"/>
      <c r="AH194" s="118"/>
    </row>
    <row r="195" spans="1:34" ht="15.75" hidden="1">
      <c r="A195" s="118" t="s">
        <v>515</v>
      </c>
      <c r="B195" s="134"/>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c r="AA195" s="83"/>
      <c r="AB195" s="83"/>
      <c r="AC195" s="83"/>
      <c r="AD195" s="118"/>
      <c r="AF195" s="118"/>
      <c r="AG195" s="118"/>
      <c r="AH195" s="118"/>
    </row>
    <row r="196" spans="1:34" hidden="1">
      <c r="A196" s="118" t="s">
        <v>752</v>
      </c>
      <c r="B196" s="134"/>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118"/>
      <c r="AF196" s="118"/>
      <c r="AG196" s="118"/>
      <c r="AH196" s="118"/>
    </row>
    <row r="197" spans="1:34" hidden="1">
      <c r="B197" s="135"/>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18"/>
      <c r="AF197" s="118"/>
      <c r="AG197" s="118"/>
      <c r="AH197" s="118"/>
    </row>
    <row r="198" spans="1:34" ht="15.75" hidden="1">
      <c r="A198" s="118" t="s">
        <v>517</v>
      </c>
      <c r="B198" s="134"/>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c r="AA198" s="83"/>
      <c r="AB198" s="83"/>
      <c r="AC198" s="83"/>
      <c r="AD198" s="118"/>
      <c r="AF198" s="118"/>
      <c r="AG198" s="118"/>
      <c r="AH198" s="118"/>
    </row>
    <row r="199" spans="1:34" hidden="1">
      <c r="A199" s="118" t="s">
        <v>518</v>
      </c>
      <c r="B199" s="134"/>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118"/>
      <c r="AF199" s="118"/>
      <c r="AG199" s="118"/>
      <c r="AH199" s="118"/>
    </row>
    <row r="200" spans="1:34" hidden="1">
      <c r="A200" s="118" t="s">
        <v>519</v>
      </c>
      <c r="B200" s="134"/>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118"/>
      <c r="AF200" s="118"/>
      <c r="AG200" s="118"/>
      <c r="AH200" s="118"/>
    </row>
    <row r="201" spans="1:34" hidden="1">
      <c r="A201" s="118" t="s">
        <v>520</v>
      </c>
      <c r="B201" s="134"/>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118"/>
      <c r="AF201" s="118"/>
      <c r="AG201" s="118"/>
      <c r="AH201" s="118"/>
    </row>
    <row r="202" spans="1:34" hidden="1">
      <c r="B202" s="135"/>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18"/>
      <c r="AF202" s="118"/>
      <c r="AG202" s="118"/>
      <c r="AH202" s="118"/>
    </row>
    <row r="203" spans="1:34" hidden="1">
      <c r="B203" s="135"/>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18"/>
      <c r="AF203" s="118"/>
      <c r="AG203" s="118"/>
      <c r="AH203" s="118"/>
    </row>
    <row r="204" spans="1:34" hidden="1">
      <c r="B204" s="137"/>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18"/>
      <c r="AF204" s="118"/>
      <c r="AG204" s="118"/>
      <c r="AH204" s="118"/>
    </row>
    <row r="205" spans="1:34" hidden="1">
      <c r="A205" s="118" t="s">
        <v>524</v>
      </c>
      <c r="B205" s="134"/>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118"/>
      <c r="AF205" s="118"/>
      <c r="AG205" s="118"/>
      <c r="AH205" s="118"/>
    </row>
    <row r="206" spans="1:34" hidden="1">
      <c r="A206" s="118" t="s">
        <v>525</v>
      </c>
      <c r="B206" s="134"/>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118"/>
      <c r="AF206" s="118"/>
      <c r="AG206" s="118"/>
      <c r="AH206" s="118"/>
    </row>
    <row r="207" spans="1:34" hidden="1">
      <c r="A207" s="118" t="s">
        <v>526</v>
      </c>
      <c r="B207" s="134"/>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118"/>
      <c r="AF207" s="118"/>
      <c r="AG207" s="118"/>
      <c r="AH207" s="118"/>
    </row>
    <row r="208" spans="1:34" hidden="1">
      <c r="A208" s="118" t="s">
        <v>527</v>
      </c>
      <c r="B208" s="134"/>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F208" s="118"/>
      <c r="AG208" s="118"/>
      <c r="AH208" s="118"/>
    </row>
    <row r="209" spans="1:34" hidden="1">
      <c r="A209" s="118" t="s">
        <v>528</v>
      </c>
      <c r="B209" s="134"/>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118"/>
      <c r="AF209" s="118"/>
      <c r="AG209" s="118"/>
      <c r="AH209" s="118"/>
    </row>
    <row r="210" spans="1:34" hidden="1">
      <c r="B210" s="135"/>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18"/>
      <c r="AF210" s="118"/>
      <c r="AG210" s="118"/>
      <c r="AH210" s="118"/>
    </row>
    <row r="211" spans="1:34" hidden="1">
      <c r="A211" s="118" t="s">
        <v>529</v>
      </c>
      <c r="B211" s="134"/>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118"/>
      <c r="AF211" s="118"/>
      <c r="AG211" s="118"/>
      <c r="AH211" s="118"/>
    </row>
    <row r="212" spans="1:34" hidden="1">
      <c r="A212" s="118" t="s">
        <v>530</v>
      </c>
      <c r="B212" s="134"/>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118"/>
      <c r="AF212" s="118"/>
      <c r="AG212" s="118"/>
      <c r="AH212" s="118"/>
    </row>
    <row r="213" spans="1:34" hidden="1">
      <c r="A213" s="118" t="s">
        <v>531</v>
      </c>
      <c r="B213" s="134"/>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118"/>
      <c r="AF213" s="118"/>
      <c r="AG213" s="118"/>
      <c r="AH213" s="118"/>
    </row>
    <row r="214" spans="1:34" hidden="1">
      <c r="A214" s="118" t="s">
        <v>532</v>
      </c>
      <c r="B214" s="134"/>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118"/>
      <c r="AF214" s="118"/>
      <c r="AG214" s="118"/>
      <c r="AH214" s="118"/>
    </row>
    <row r="215" spans="1:34" hidden="1">
      <c r="B215" s="135"/>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18"/>
      <c r="AF215" s="118"/>
      <c r="AG215" s="118"/>
      <c r="AH215" s="118"/>
    </row>
    <row r="216" spans="1:34" hidden="1">
      <c r="B216" s="135"/>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18"/>
      <c r="AF216" s="118"/>
      <c r="AG216" s="118"/>
      <c r="AH216" s="118"/>
    </row>
    <row r="217" spans="1:34" hidden="1">
      <c r="B217" s="137"/>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18"/>
      <c r="AF217" s="118"/>
      <c r="AG217" s="118"/>
      <c r="AH217" s="118"/>
    </row>
    <row r="218" spans="1:34" hidden="1">
      <c r="A218" s="118" t="s">
        <v>535</v>
      </c>
      <c r="B218" s="134"/>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118"/>
      <c r="AF218" s="118"/>
      <c r="AG218" s="118"/>
      <c r="AH218" s="118"/>
    </row>
    <row r="219" spans="1:34" hidden="1">
      <c r="A219" s="118" t="s">
        <v>536</v>
      </c>
      <c r="B219" s="134"/>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118"/>
      <c r="AF219" s="118"/>
      <c r="AG219" s="118"/>
      <c r="AH219" s="118"/>
    </row>
    <row r="220" spans="1:34" hidden="1">
      <c r="A220" s="118" t="s">
        <v>537</v>
      </c>
      <c r="B220" s="134"/>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118"/>
      <c r="AF220" s="118"/>
      <c r="AG220" s="118"/>
      <c r="AH220" s="118"/>
    </row>
    <row r="221" spans="1:34" hidden="1">
      <c r="B221" s="135"/>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18"/>
      <c r="AF221" s="118"/>
      <c r="AG221" s="118"/>
      <c r="AH221" s="118"/>
    </row>
    <row r="222" spans="1:34" hidden="1">
      <c r="A222" s="118" t="s">
        <v>538</v>
      </c>
      <c r="B222" s="134"/>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118"/>
      <c r="AF222" s="118"/>
      <c r="AG222" s="118"/>
      <c r="AH222" s="118"/>
    </row>
    <row r="223" spans="1:34" hidden="1">
      <c r="A223" s="118" t="s">
        <v>539</v>
      </c>
      <c r="B223" s="134"/>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118"/>
      <c r="AF223" s="118"/>
      <c r="AG223" s="118"/>
      <c r="AH223" s="118"/>
    </row>
    <row r="224" spans="1:34" hidden="1">
      <c r="A224" s="118" t="s">
        <v>540</v>
      </c>
      <c r="B224" s="134"/>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118"/>
      <c r="AF224" s="118"/>
      <c r="AG224" s="118"/>
      <c r="AH224" s="118"/>
    </row>
    <row r="225" spans="1:34" hidden="1">
      <c r="B225" s="135"/>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18"/>
      <c r="AF225" s="118"/>
      <c r="AG225" s="118"/>
      <c r="AH225" s="118"/>
    </row>
    <row r="226" spans="1:34" hidden="1">
      <c r="B226" s="135"/>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row>
    <row r="227" spans="1:34" hidden="1">
      <c r="A227" s="118" t="s">
        <v>753</v>
      </c>
      <c r="B227" s="134"/>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34" hidden="1">
      <c r="B228" s="135"/>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row>
    <row r="229" spans="1:34" hidden="1">
      <c r="A229" s="118" t="s">
        <v>542</v>
      </c>
      <c r="B229" s="134"/>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34" hidden="1">
      <c r="B230" s="135"/>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594</v>
      </c>
      <c r="B233" s="14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34" hidden="1">
      <c r="A234" s="118" t="s">
        <v>749</v>
      </c>
      <c r="B234" s="134"/>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34" hidden="1">
      <c r="A235" s="118" t="s">
        <v>750</v>
      </c>
      <c r="B235" s="134"/>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34" hidden="1">
      <c r="A236" s="118" t="s">
        <v>596</v>
      </c>
      <c r="B236" s="134"/>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34" hidden="1">
      <c r="A237" s="118" t="s">
        <v>597</v>
      </c>
      <c r="B237" s="134"/>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34" hidden="1">
      <c r="A238" s="118" t="s">
        <v>598</v>
      </c>
      <c r="B238" s="134"/>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34" hidden="1">
      <c r="A239" s="118" t="s">
        <v>599</v>
      </c>
      <c r="B239" s="134"/>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34" hidden="1">
      <c r="A240" s="118" t="s">
        <v>600</v>
      </c>
      <c r="B240" s="134"/>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34" hidden="1">
      <c r="A241" s="118" t="s">
        <v>189</v>
      </c>
      <c r="B241" s="134"/>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34" hidden="1">
      <c r="A242" s="118" t="s">
        <v>601</v>
      </c>
      <c r="B242" s="134"/>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118"/>
      <c r="AF242" s="118"/>
      <c r="AG242" s="118"/>
      <c r="AH242" s="118"/>
    </row>
    <row r="243" spans="1:34" hidden="1">
      <c r="A243" s="118" t="s">
        <v>602</v>
      </c>
      <c r="B243" s="134"/>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118"/>
      <c r="AF243" s="118"/>
      <c r="AG243" s="118"/>
      <c r="AH243" s="118"/>
    </row>
    <row r="244" spans="1:34" hidden="1">
      <c r="A244" s="118" t="s">
        <v>603</v>
      </c>
      <c r="B244" s="134"/>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118"/>
      <c r="AF244" s="118"/>
      <c r="AG244" s="118"/>
      <c r="AH244" s="118"/>
    </row>
    <row r="245" spans="1:34" hidden="1">
      <c r="A245" s="118" t="s">
        <v>604</v>
      </c>
      <c r="B245" s="134"/>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118"/>
      <c r="AF245" s="118"/>
      <c r="AG245" s="118"/>
      <c r="AH245" s="118"/>
    </row>
    <row r="246" spans="1:34" hidden="1">
      <c r="A246" s="118" t="s">
        <v>605</v>
      </c>
      <c r="B246" s="134"/>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118"/>
      <c r="AF246" s="118"/>
      <c r="AG246" s="118"/>
      <c r="AH246" s="118"/>
    </row>
    <row r="247" spans="1:34" hidden="1">
      <c r="A247" s="118" t="s">
        <v>606</v>
      </c>
      <c r="B247" s="134"/>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118"/>
      <c r="AF247" s="118"/>
      <c r="AG247" s="118"/>
      <c r="AH247" s="118"/>
    </row>
    <row r="248" spans="1:34" hidden="1">
      <c r="A248" s="118" t="s">
        <v>607</v>
      </c>
      <c r="B248" s="134"/>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118"/>
      <c r="AF248" s="118"/>
      <c r="AG248" s="118"/>
      <c r="AH248" s="118"/>
    </row>
    <row r="249" spans="1:34" hidden="1">
      <c r="A249" s="118" t="s">
        <v>608</v>
      </c>
      <c r="B249" s="134"/>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118"/>
      <c r="AF249" s="118"/>
      <c r="AG249" s="118"/>
      <c r="AH249" s="118"/>
    </row>
    <row r="250" spans="1:34" hidden="1">
      <c r="B250" s="135"/>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18"/>
      <c r="AF250" s="118"/>
      <c r="AG250" s="118"/>
      <c r="AH250" s="118"/>
    </row>
    <row r="251" spans="1:34" hidden="1">
      <c r="B251" s="138"/>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18"/>
      <c r="AF251" s="118"/>
      <c r="AG251" s="118"/>
      <c r="AH251" s="118"/>
    </row>
    <row r="252" spans="1:34" hidden="1">
      <c r="B252" s="134"/>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118"/>
      <c r="AF252" s="118"/>
      <c r="AG252" s="118"/>
      <c r="AH252" s="118"/>
    </row>
    <row r="253" spans="1:34" hidden="1">
      <c r="B253" s="134"/>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118"/>
      <c r="AF253" s="118"/>
      <c r="AG253" s="118"/>
      <c r="AH253" s="118"/>
    </row>
    <row r="254" spans="1:34" hidden="1">
      <c r="B254" s="134"/>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118"/>
      <c r="AF254" s="118"/>
      <c r="AG254" s="118"/>
      <c r="AH254" s="118"/>
    </row>
    <row r="255" spans="1:34" hidden="1">
      <c r="B255" s="134"/>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118"/>
      <c r="AF255" s="118"/>
      <c r="AG255" s="118"/>
      <c r="AH255" s="118"/>
    </row>
    <row r="256" spans="1:34" hidden="1">
      <c r="B256" s="134"/>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118"/>
      <c r="AF256" s="118"/>
      <c r="AG256" s="118"/>
      <c r="AH256" s="118"/>
    </row>
    <row r="257" spans="2:34" hidden="1">
      <c r="B257" s="134"/>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118"/>
      <c r="AF257" s="118"/>
      <c r="AG257" s="118"/>
      <c r="AH257" s="118"/>
    </row>
    <row r="258" spans="2:34" hidden="1">
      <c r="B258" s="134"/>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118"/>
      <c r="AF258" s="118"/>
      <c r="AG258" s="118"/>
      <c r="AH258" s="118"/>
    </row>
    <row r="259" spans="2:34" hidden="1">
      <c r="B259" s="134"/>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118"/>
      <c r="AF259" s="118"/>
      <c r="AG259" s="118"/>
      <c r="AH259" s="118"/>
    </row>
    <row r="260" spans="2:34" hidden="1">
      <c r="B260" s="134"/>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118"/>
      <c r="AF260" s="118"/>
      <c r="AG260" s="118"/>
      <c r="AH260" s="118"/>
    </row>
    <row r="261" spans="2:34" hidden="1">
      <c r="B261" s="134"/>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118"/>
      <c r="AF261" s="118"/>
      <c r="AG261" s="118"/>
      <c r="AH261" s="118"/>
    </row>
    <row r="262" spans="2:34" hidden="1">
      <c r="B262" s="134"/>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118"/>
      <c r="AF262" s="118"/>
      <c r="AG262" s="118"/>
      <c r="AH262" s="118"/>
    </row>
    <row r="263" spans="2:34" hidden="1">
      <c r="B263" s="135"/>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18"/>
      <c r="AF263" s="118"/>
      <c r="AG263" s="118"/>
      <c r="AH263" s="118"/>
    </row>
    <row r="264" spans="2:34" hidden="1">
      <c r="B264" s="138"/>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2021-07-21T13:28:59Z</dcterms:modified>
</cp:coreProperties>
</file>